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NZsQ6deGBcbUw07mkFrO00Q14rhmAbsCpZqjZLapXy5O3WEV2FKXMsiI8iibsJcY70faybdRfX5xPjT4L8/uJQ==" workbookSaltValue="iRMn2kpL8oiCQ/vXXtxQ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2" i="20"/>
  <c r="BW11" i="20"/>
  <c r="BW10" i="20"/>
  <c r="BU16" i="17"/>
  <c r="T13" i="16"/>
  <c r="AZ12" i="11"/>
  <c r="BG12" i="11"/>
  <c r="BH10"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G10" i="8"/>
  <c r="BL17" i="11"/>
  <c r="BH17" i="16"/>
  <c r="T9" i="11"/>
  <c r="V10" i="16"/>
  <c r="X15" i="16"/>
  <c r="X18" i="16" s="1"/>
  <c r="L17" i="2"/>
  <c r="L12" i="2"/>
  <c r="S16" i="17"/>
  <c r="S15" i="17"/>
  <c r="BK10" i="11"/>
  <c r="BH12" i="16"/>
  <c r="BM9" i="11"/>
  <c r="S17" i="17"/>
  <c r="BG16" i="11"/>
  <c r="BH11" i="11"/>
  <c r="BK16" i="11"/>
  <c r="BJ10" i="11"/>
  <c r="BL10" i="11"/>
  <c r="BI9" i="11"/>
  <c r="Q17" i="17"/>
  <c r="T16" i="11"/>
  <c r="AA17" i="16"/>
  <c r="BV9" i="16"/>
  <c r="V12" i="16"/>
  <c r="U10" i="17"/>
  <c r="BV11" i="16"/>
  <c r="BV12" i="16"/>
  <c r="BU11" i="17"/>
  <c r="BK17" i="11"/>
  <c r="BJ12" i="11"/>
  <c r="BM12" i="11"/>
  <c r="BF10" i="11"/>
  <c r="BM16" i="11"/>
  <c r="BH11" i="16"/>
  <c r="AL16" i="11"/>
  <c r="C16" i="6"/>
  <c r="BE9" i="13"/>
  <c r="BL15" i="11"/>
  <c r="BF12" i="11"/>
  <c r="P15" i="17"/>
  <c r="S15" i="16"/>
  <c r="S18" i="16" s="1"/>
  <c r="X17" i="17"/>
  <c r="AZ11" i="11"/>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<sst xmlns="http://schemas.openxmlformats.org/spreadsheetml/2006/main" count="2102" uniqueCount="918">
  <si>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</si>
  <si>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</si>
  <si>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</si>
  <si>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</si>
  <si>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</si>
  <si>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</si>
  <si>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</si>
  <si>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</si>
  <si>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</si>
  <si>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</si>
  <si>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</si>
  <si>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</si>
  <si>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</si>
  <si>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</si>
  <si>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</si>
  <si>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</si>
  <si>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</si>
  <si>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</si>
  <si>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</si>
  <si>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</si>
  <si>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</si>
  <si>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</si>
  <si>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</si>
  <si>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</si>
  <si>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</si>
  <si>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</si>
  <si>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</si>
  <si>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</si>
  <si>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</si>
  <si>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</si>
  <si>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</si>
  <si>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</si>
  <si>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</si>
  <si>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</si>
  <si>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</si>
  <si>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</si>
  <si>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</si>
  <si>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</si>
  <si>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</si>
  <si>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</si>
  <si>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</si>
  <si>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</si>
  <si>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</si>
  <si>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</si>
  <si>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</si>
  <si>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</si>
  <si>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</si>
  <si>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</si>
  <si>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</si>
  <si>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</si>
  <si>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</si>
  <si>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</si>
  <si>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</si>
  <si>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</si>
  <si>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</si>
  <si>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</si>
  <si>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</si>
  <si>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</si>
  <si>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</si>
  <si>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</si>
  <si>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</si>
  <si>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</si>
  <si>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</si>
  <si>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</si>
  <si>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</si>
  <si>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</si>
  <si>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</si>
  <si>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</si>
  <si>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</si>
  <si>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</si>
  <si>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</si>
  <si>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</si>
  <si>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</si>
  <si>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</si>
  <si>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</si>
  <si>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</si>
  <si>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</si>
  <si>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</si>
  <si>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</si>
  <si>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</si>
  <si>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</si>
  <si>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</si>
  <si>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</si>
  <si>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</si>
  <si>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</si>
  <si>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</si>
  <si>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</si>
  <si>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</si>
  <si>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</si>
  <si>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</si>
  <si>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</si>
  <si>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</si>
  <si>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</si>
  <si>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</si>
  <si>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</si>
  <si>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</si>
  <si>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</si>
  <si>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</si>
  <si>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</si>
  <si>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</si>
  <si>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</si>
  <si>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</si>
  <si>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</si>
  <si>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</si>
  <si>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</si>
  <si>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</si>
  <si>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</si>
  <si>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</si>
  <si>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</si>
  <si>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</si>
  <si>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</si>
  <si>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</si>
  <si>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</si>
  <si>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</si>
  <si>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</si>
  <si>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</si>
  <si>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</si>
  <si>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</si>
  <si>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</si>
  <si>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</si>
  <si>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</si>
  <si>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</si>
  <si>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</si>
  <si>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</si>
  <si>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</si>
  <si>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</si>
  <si>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</si>
  <si>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</si>
  <si>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</si>
  <si>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</si>
  <si>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</si>
  <si>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</si>
  <si>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</si>
  <si>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</si>
  <si>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</si>
  <si>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</si>
  <si>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</si>
  <si>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</si>
  <si>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</si>
  <si>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</si>
  <si>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</si>
  <si>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</si>
  <si>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</si>
  <si>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</si>
  <si>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</si>
  <si>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</si>
  <si>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</si>
  <si>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</si>
  <si>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</si>
  <si>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</si>
  <si>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</si>
  <si>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</si>
  <si>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</si>
  <si>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</si>
  <si>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</si>
  <si>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</si>
  <si>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</si>
  <si>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</si>
  <si>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</si>
  <si>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</si>
  <si>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</si>
  <si>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</si>
  <si>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</si>
  <si>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</si>
  <si>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</si>
  <si>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</si>
  <si>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</si>
  <si>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</si>
  <si>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</si>
  <si>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</si>
  <si>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</si>
  <si>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</si>
  <si>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</si>
  <si>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</si>
  <si>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</si>
  <si>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</si>
  <si>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</si>
  <si>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</si>
  <si>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</si>
  <si>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</si>
  <si>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</si>
  <si>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</si>
  <si>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</si>
  <si>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</si>
  <si>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</si>
  <si>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</si>
  <si>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</si>
  <si>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</si>
  <si>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</si>
  <si>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</si>
  <si>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</si>
  <si>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</si>
  <si>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</si>
  <si>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</si>
  <si>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</si>
  <si>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</si>
  <si>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</si>
  <si>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</si>
  <si>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</si>
  <si>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</si>
  <si>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</si>
  <si>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</si>
  <si>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</si>
  <si>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</si>
  <si>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</si>
  <si>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</si>
  <si>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</si>
  <si>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</si>
  <si>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</si>
  <si>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</si>
  <si>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</si>
  <si>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</si>
  <si>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</si>
  <si>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</si>
  <si>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</si>
  <si>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</si>
  <si>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</si>
  <si>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</si>
  <si>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</si>
  <si>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</si>
  <si>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</si>
  <si>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</si>
  <si>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</si>
  <si>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</si>
  <si>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</si>
  <si>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</si>
  <si>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</si>
  <si>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</si>
  <si>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</si>
  <si>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</si>
  <si>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</si>
  <si>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</si>
  <si>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</si>
  <si>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</si>
  <si>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</si>
  <si>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</si>
  <si>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</si>
  <si>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</si>
  <si>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</si>
  <si>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</si>
  <si>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</si>
  <si>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</si>
  <si>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</si>
  <si>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</si>
  <si>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</si>
  <si>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</si>
  <si>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</si>
  <si>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</si>
  <si>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</si>
  <si>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</si>
  <si>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</si>
  <si>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</si>
  <si>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</si>
  <si>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</si>
  <si>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</si>
  <si>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</si>
  <si>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</si>
  <si>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</si>
  <si>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</si>
  <si>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</si>
  <si>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</si>
  <si>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</si>
  <si>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</si>
  <si>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</si>
  <si>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</si>
  <si>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</si>
  <si>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</si>
  <si>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</si>
  <si>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</si>
  <si>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</si>
  <si>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</si>
  <si>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</si>
  <si>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</si>
  <si>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</si>
  <si>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</si>
  <si>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</si>
  <si>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</si>
  <si>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</si>
  <si>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</si>
  <si>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</si>
  <si>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</si>
  <si>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</si>
  <si>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</si>
  <si>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</si>
  <si>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</si>
  <si>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</si>
  <si>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</si>
  <si>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</si>
  <si>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</si>
  <si>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</si>
  <si>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</si>
  <si>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</si>
  <si>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</si>
  <si>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</si>
  <si>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</si>
  <si>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</si>
  <si>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</si>
  <si>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</si>
  <si>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</si>
  <si>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</si>
  <si>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</si>
  <si>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</si>
  <si>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</si>
  <si>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</si>
  <si>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</si>
  <si>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</si>
  <si>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</si>
  <si>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</si>
  <si>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</si>
  <si>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</si>
  <si>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</si>
  <si>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</si>
  <si>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</si>
  <si>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</si>
  <si>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</si>
  <si>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</si>
  <si>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</si>
  <si>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</si>
  <si>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</si>
  <si>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</si>
  <si>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</si>
  <si>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</si>
  <si>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</si>
  <si>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</si>
  <si>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</si>
  <si>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</si>
  <si>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</si>
  <si>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</si>
  <si>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</si>
  <si>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</si>
  <si>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</si>
  <si>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</si>
  <si>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</si>
  <si>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</si>
  <si>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</si>
  <si>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</si>
  <si>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</si>
  <si>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</si>
  <si>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</si>
  <si>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</si>
  <si>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</si>
  <si>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</si>
  <si>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</si>
  <si>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</si>
  <si>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</si>
  <si>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</si>
  <si>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</si>
  <si>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</si>
  <si>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</si>
  <si>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</si>
  <si>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</si>
  <si>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</si>
  <si>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</si>
  <si>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</si>
  <si>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</si>
  <si>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</si>
  <si>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</si>
  <si>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</si>
  <si>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</si>
  <si>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</si>
  <si>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</si>
  <si>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</si>
  <si>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</si>
  <si>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</si>
  <si>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</si>
  <si>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</si>
  <si>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</si>
  <si>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</si>
  <si>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</si>
  <si>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</si>
  <si>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</si>
  <si>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</si>
  <si>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</si>
  <si>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</si>
  <si>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</si>
  <si>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</si>
  <si>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</si>
  <si>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</si>
  <si>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</si>
  <si>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</si>
  <si>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</si>
  <si>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</si>
  <si>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</si>
  <si>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</si>
  <si>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</si>
  <si>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</si>
  <si>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</si>
  <si>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</si>
  <si>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</si>
  <si>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</si>
  <si>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</si>
  <si>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</si>
  <si>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</si>
  <si>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</si>
  <si>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</si>
  <si>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</si>
  <si>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</si>
  <si>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</si>
  <si>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</si>
  <si>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</si>
  <si>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</si>
  <si>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</si>
  <si>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</si>
  <si>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</si>
  <si>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</si>
  <si>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</si>
  <si>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</si>
  <si>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</si>
  <si>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</si>
  <si>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</si>
  <si>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</si>
  <si>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</si>
  <si>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</si>
  <si>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</si>
  <si>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</si>
  <si>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</si>
  <si>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</si>
  <si>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</si>
  <si>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</si>
  <si>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</si>
  <si>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</si>
  <si>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</si>
  <si>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</si>
  <si>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</si>
  <si>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</si>
  <si>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</si>
  <si>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</si>
  <si>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</si>
  <si>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</si>
  <si>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</si>
  <si>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</si>
  <si>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</si>
  <si>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</si>
  <si>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</si>
  <si>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</si>
  <si>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</si>
  <si>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</si>
  <si>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</si>
  <si>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</si>
  <si>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</si>
  <si>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</si>
  <si>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</si>
  <si>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</si>
  <si>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</si>
  <si>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</si>
  <si>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</si>
  <si>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</si>
  <si>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</si>
  <si>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</si>
  <si>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</si>
  <si>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</si>
  <si>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</si>
  <si>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</si>
  <si>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</si>
  <si>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</si>
  <si>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</si>
  <si>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</si>
  <si>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</si>
  <si>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</si>
  <si>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</si>
  <si>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</si>
  <si>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</si>
  <si>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</si>
  <si>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</si>
  <si>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</si>
  <si>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</si>
  <si>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</si>
  <si>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</si>
  <si>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</si>
  <si>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</si>
  <si>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</si>
  <si>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</si>
  <si>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</si>
  <si>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</si>
  <si>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</si>
  <si>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</si>
  <si>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</si>
  <si>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</si>
  <si>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</si>
  <si>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</si>
  <si>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</si>
  <si>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</si>
  <si>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</si>
  <si>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</si>
  <si>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</si>
  <si>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</si>
  <si>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</si>
  <si>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</si>
  <si>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</si>
  <si>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</si>
  <si>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</si>
  <si>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</si>
  <si>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</si>
  <si>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</si>
  <si>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</si>
  <si>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</si>
  <si>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</si>
  <si>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</si>
  <si>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</si>
  <si>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</si>
  <si>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</si>
  <si>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</si>
  <si>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</si>
  <si>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</si>
  <si>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</si>
  <si>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</si>
  <si>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</si>
  <si>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</si>
  <si>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</si>
  <si>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</si>
  <si>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</si>
  <si>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</si>
  <si>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</si>
  <si>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</si>
  <si>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</si>
  <si>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</si>
  <si>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</si>
  <si>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</si>
  <si>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</si>
  <si>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</si>
  <si>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</si>
  <si>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</si>
  <si>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</si>
  <si>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</si>
  <si>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</si>
  <si>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</si>
  <si>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</si>
  <si>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</si>
  <si>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</si>
  <si>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</si>
  <si>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</si>
  <si>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</si>
  <si>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</si>
  <si>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</si>
  <si>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</si>
  <si>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</si>
  <si>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</si>
  <si>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</si>
  <si>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</si>
  <si>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</si>
  <si>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</si>
  <si>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</si>
  <si>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</si>
  <si>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</si>
  <si>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</si>
  <si>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</si>
  <si>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</si>
  <si>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</si>
  <si>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</si>
  <si>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</si>
  <si>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</si>
  <si>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</si>
  <si>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</si>
  <si>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</si>
  <si>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</si>
  <si>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</si>
  <si>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</si>
  <si>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</si>
  <si>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</si>
  <si>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</si>
  <si>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</si>
  <si>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</si>
  <si>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</si>
  <si>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</si>
  <si>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</si>
  <si>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</si>
  <si>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</si>
  <si>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</si>
  <si>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</si>
  <si>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</si>
  <si>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</si>
  <si>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</si>
  <si>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</si>
  <si>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</si>
  <si>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</si>
  <si>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</si>
  <si>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</si>
  <si>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</si>
  <si>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</si>
  <si>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</si>
  <si>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</si>
  <si>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</si>
  <si>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</si>
  <si>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</si>
  <si>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</si>
  <si>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</si>
  <si>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</si>
  <si>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</si>
  <si>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</si>
  <si>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</si>
  <si>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</si>
  <si>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</si>
  <si>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</si>
  <si>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</si>
  <si>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</si>
  <si>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</si>
  <si>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</si>
  <si>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</si>
  <si>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</si>
  <si>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</si>
  <si>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</si>
  <si>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</si>
  <si>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</si>
  <si>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</si>
  <si>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</si>
  <si>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</si>
  <si>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</si>
  <si>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</si>
  <si>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</si>
  <si>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</si>
  <si>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</si>
  <si>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</si>
  <si>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</si>
  <si>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</si>
  <si>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</si>
  <si>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</si>
  <si>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</si>
  <si>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</si>
  <si>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</si>
  <si>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</si>
  <si>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</si>
  <si>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</si>
  <si>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</si>
  <si>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</si>
  <si>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</si>
  <si>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</si>
  <si>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</si>
  <si>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</si>
  <si>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</si>
  <si>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</si>
  <si>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</si>
  <si>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</si>
  <si>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</si>
  <si>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</si>
  <si>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</si>
  <si>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</si>
  <si>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</si>
  <si>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</si>
  <si>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</si>
  <si>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</si>
  <si>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</si>
  <si>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</si>
  <si>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</si>
  <si>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</si>
  <si>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</si>
  <si>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</si>
  <si>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</si>
  <si>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</si>
  <si>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</si>
  <si>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</si>
  <si>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</si>
  <si>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</si>
  <si>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</si>
  <si>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</si>
  <si>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</si>
  <si>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</si>
  <si>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</si>
  <si>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</si>
  <si>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</si>
  <si>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</si>
  <si>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</si>
  <si>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</si>
  <si>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</si>
  <si>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</si>
  <si>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</si>
  <si>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</si>
  <si>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</si>
  <si>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</si>
  <si>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</si>
  <si>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</si>
  <si>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</si>
  <si>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</si>
  <si>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</si>
  <si>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</si>
  <si>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</si>
  <si>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</si>
  <si>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</si>
  <si>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</si>
  <si>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</si>
  <si>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</si>
  <si>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</si>
  <si>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</si>
  <si>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</si>
  <si>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</si>
  <si>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</si>
  <si>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</si>
  <si>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</si>
  <si>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</si>
  <si>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</si>
  <si>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</si>
  <si>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</si>
  <si>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</si>
  <si>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</si>
  <si>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</si>
  <si>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</si>
  <si>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</si>
  <si>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</si>
  <si>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</si>
  <si>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</si>
  <si>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</si>
  <si>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</si>
  <si>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</si>
  <si>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</si>
  <si>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</si>
  <si>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</si>
  <si>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</si>
  <si>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</si>
  <si>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</si>
  <si>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</si>
  <si>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</si>
  <si>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</si>
  <si>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</si>
  <si>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</si>
  <si>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</si>
  <si>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</si>
  <si>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</si>
  <si>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</si>
  <si>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</si>
  <si>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</si>
  <si>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</si>
  <si>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</si>
  <si>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</si>
  <si>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</si>
  <si>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</si>
  <si>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</si>
  <si>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</si>
  <si>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</si>
  <si>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</si>
  <si>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</si>
  <si>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</si>
  <si>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</si>
  <si>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</si>
  <si>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</si>
  <si>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</si>
  <si>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</si>
  <si>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</si>
  <si>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</si>
  <si>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</si>
  <si>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</si>
  <si>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</si>
  <si>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</si>
  <si>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</si>
  <si>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</si>
  <si>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</si>
  <si>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</si>
  <si>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</si>
  <si>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</si>
  <si>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</si>
  <si>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</si>
  <si>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</si>
  <si>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</si>
  <si>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</si>
  <si>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</si>
  <si>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</si>
  <si>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</si>
  <si>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</si>
  <si>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</si>
  <si>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</si>
  <si>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</si>
  <si>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</si>
  <si>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</si>
  <si>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</si>
  <si>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</si>
  <si>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</si>
  <si>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</si>
  <si>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</si>
  <si>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</si>
  <si>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</si>
  <si>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</si>
  <si>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</si>
  <si>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</si>
  <si>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</si>
  <si>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</si>
  <si>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</si>
  <si>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</si>
  <si>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</si>
  <si>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</si>
  <si>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</si>
  <si>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</si>
  <si>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</si>
  <si>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</si>
  <si>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</si>
  <si>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</si>
  <si>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</si>
  <si>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</si>
  <si>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</si>
  <si>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</si>
  <si>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</si>
  <si>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</si>
  <si>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</si>
  <si>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</si>
  <si>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</si>
  <si>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</si>
  <si>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</si>
  <si>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</si>
  <si>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</si>
  <si>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</si>
  <si>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</si>
  <si>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</si>
  <si>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</si>
  <si>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</si>
  <si>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</si>
  <si>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</si>
  <si>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</si>
  <si>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</si>
  <si>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</si>
  <si>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</si>
  <si>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</si>
  <si>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</si>
  <si>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</si>
  <si>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</si>
  <si>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</si>
  <si>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</si>
  <si>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</si>
  <si>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</si>
  <si>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</si>
  <si>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</si>
  <si>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</si>
  <si>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</si>
  <si>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</si>
  <si>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</si>
  <si>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</si>
  <si>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</si>
  <si>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</si>
  <si>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</si>
  <si>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</si>
  <si>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</si>
  <si>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</si>
  <si>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</si>
  <si>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</si>
  <si>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</si>
  <si>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</si>
  <si>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</si>
  <si>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</si>
  <si>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</si>
  <si>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</si>
  <si>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</si>
  <si>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</si>
  <si>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</si>
  <si>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</si>
  <si>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</si>
  <si>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</si>
  <si>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</si>
  <si>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</si>
  <si>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</si>
  <si>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</si>
  <si>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</si>
  <si>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</si>
  <si>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</si>
  <si>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</si>
  <si>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</si>
  <si>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</si>
  <si>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</si>
  <si>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</si>
  <si>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</si>
  <si>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</si>
  <si>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</si>
  <si>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</si>
  <si>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</si>
  <si>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</si>
  <si>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</si>
  <si>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</si>
  <si>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</si>
  <si>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</si>
  <si>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</si>
  <si>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</si>
  <si>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</si>
  <si>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</si>
  <si>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</si>
  <si>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</si>
  <si>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</si>
  <si>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</si>
  <si>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</si>
  <si>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</si>
  <si>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</si>
  <si>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</si>
  <si>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</si>
  <si>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</si>
  <si>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</si>
  <si>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</si>
  <si>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</si>
  <si>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</si>
  <si>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</si>
  <si>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</si>
  <si>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</si>
  <si>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</si>
  <si>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</si>
  <si>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</si>
  <si>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</si>
  <si>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</si>
  <si>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</si>
  <si>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</si>
  <si>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</si>
  <si>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</si>
  <si>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</si>
  <si>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</si>
  <si>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</si>
  <si>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</si>
  <si>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</si>
  <si>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</si>
  <si>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</si>
  <si>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</si>
  <si>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</si>
  <si>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</si>
  <si>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</si>
  <si>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</si>
  <si>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</si>
  <si>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</si>
  <si>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</si>
  <si>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</si>
  <si>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</si>
  <si>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</si>
  <si>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</si>
  <si>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</si>
  <si>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</si>
  <si>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</si>
  <si>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</si>
  <si>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RONDA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</si>
</sst>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Cp4vAND1VrnO2IZQlZannE6dafG70tETqxGNxyYPQVzMhC0dCDT88Fz7M98cJj7YD/SM+ieWkUvdKAHZbH+Qg==" saltValue="4uRYMfa/AAZUkc0kkN5P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6</v>
      </c>
      <c r="F10" s="226">
        <f>IF(ISNUMBER(Datos!K10),Datos!K10," - ")</f>
        <v>7</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23.571428571428569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66.5741127348643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6</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752</v>
      </c>
      <c r="D16" s="225">
        <f>IF(ISNUMBER(IF(D_I="SI",Datos!I16,Datos!I16+Datos!AC16)),IF(D_I="SI",Datos!I16,Datos!I16+Datos!AC16)," - ")</f>
        <v>752</v>
      </c>
      <c r="E16" s="226">
        <f>IF(ISNUMBER(IF(D_I="SI",Datos!J16,Datos!J16+Datos!AD16)),IF(D_I="SI",Datos!J16,Datos!J16+Datos!AD16)," - ")</f>
        <v>654</v>
      </c>
      <c r="F16" s="226">
        <f>IF(ISNUMBER(IF(D_I="SI",Datos!K16,Datos!K16+Datos!AE16)),IF(D_I="SI",Datos!K16,Datos!K16+Datos!AE16)," - ")</f>
        <v>579</v>
      </c>
      <c r="G16" s="1034" t="str">
        <f>IF(Datos!E16&lt;&gt;"",Datos!E16,Datos!D16)</f>
        <v>04</v>
      </c>
      <c r="H16" s="227">
        <f>IF(ISNUMBER(IF(D_I="SI",Datos!L16,Datos!L16+Datos!AF16)),IF(D_I="SI",Datos!L16,Datos!L16+Datos!AF16)," - ")</f>
        <v>827</v>
      </c>
      <c r="I16" s="1044" t="str">
        <f>IF(ISNUMBER(Datos!AS16/Datos!BM16),Datos!AS16/Datos!BM16," - ")</f>
        <v xml:space="preserve"> - </v>
      </c>
      <c r="J16" s="1045">
        <f>IF(ISNUMBER(Datos!BY16/Datos!CN16),Datos!BY16/Datos!CN16," - ")</f>
        <v>0</v>
      </c>
      <c r="K16" s="230">
        <f t="shared" si="3"/>
        <v>9.9734042553191488E-2</v>
      </c>
      <c r="L16" s="1025">
        <f>IF(ISNUMBER(NºAsuntos!I16/NºAsuntos!G16),(NºAsuntos!I16/NºAsuntos!G16)*11," - ")</f>
        <v>15.711571675302244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73</v>
      </c>
      <c r="F17" s="226">
        <f>IF(ISNUMBER(IF(D_I="SI",Datos!K17,Datos!K17+Datos!AE17)),IF(D_I="SI",Datos!K17,Datos!K17+Datos!AE17)," - ")</f>
        <v>67</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8.9552238805970144E-2</v>
      </c>
      <c r="L17" s="1025">
        <f>IF(ISNUMBER(NºAsuntos!I17/NºAsuntos!G17),(NºAsuntos!I17/NºAsuntos!G17)*11," - ")</f>
        <v>11.985074626865671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819</v>
      </c>
      <c r="D18" s="1049">
        <f>SUBTOTAL(9,D15:D17)</f>
        <v>819</v>
      </c>
      <c r="E18" s="1050">
        <f>SUBTOTAL(9,E15:E17)</f>
        <v>727</v>
      </c>
      <c r="F18" s="1050">
        <f>SUBTOTAL(9,F15:F17)</f>
        <v>646</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835</v>
      </c>
      <c r="D19" s="1071">
        <f>SUBTOTAL(9,D9:D18)</f>
        <v>835</v>
      </c>
      <c r="E19" s="1072">
        <f>SUBTOTAL(9,E9:E18)</f>
        <v>733</v>
      </c>
      <c r="F19" s="1072">
        <f>SUBTOTAL(9,F9:F18)</f>
        <v>653</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pyrf1CwXIQvUqX7iGzDXdVhNTZOB63IS/eRzgC28U4e5kjY1knFtQelfl22R+ueODHOmZ/LsmtHgbaiUKfUNg==" saltValue="qCn5SS0DIB6OzhDssW3k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BpEF7kt09m1hXxVbfoiidB2TZ3ljy/24mub1PvkyQulojh8azkYLVr+CfTyLncYKLD4pYBMvHJsn4hS6lfY2g==" saltValue="I6nLdNUaGo3/W6oS6OES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6</v>
      </c>
      <c r="K10" s="181">
        <v>7</v>
      </c>
      <c r="L10" s="181">
        <v>15</v>
      </c>
      <c r="M10" s="181">
        <v>5</v>
      </c>
      <c r="N10" s="181">
        <v>0</v>
      </c>
      <c r="O10" s="181">
        <v>2</v>
      </c>
      <c r="P10" s="181">
        <v>0</v>
      </c>
      <c r="Q10" s="181">
        <v>0</v>
      </c>
      <c r="R10" s="181">
        <v>0</v>
      </c>
      <c r="S10" s="181">
        <v>8</v>
      </c>
      <c r="T10" s="181">
        <v>4</v>
      </c>
      <c r="U10" s="181">
        <v>2</v>
      </c>
      <c r="V10" s="181">
        <v>10</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4</v>
      </c>
      <c r="BA10" s="129">
        <f t="shared" si="0"/>
        <v>2</v>
      </c>
      <c r="BB10" s="129">
        <f t="shared" si="0"/>
        <v>10</v>
      </c>
      <c r="BC10" s="125">
        <f t="shared" si="0"/>
        <v>1</v>
      </c>
      <c r="BD10" s="126">
        <f>IF(ISNUMBER(BA10/AZ10),BA10/AZ10," - ")</f>
        <v>0.5</v>
      </c>
      <c r="BE10" s="127">
        <f>IF(ISNUMBER(BB10/BA10),BB10/BA10, " - ")</f>
        <v>5</v>
      </c>
      <c r="BF10" s="127">
        <f>IF(ISNUMBER(BC10/BA10),BC10/BA10, " - ")</f>
        <v>0.5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2669</v>
      </c>
      <c r="J12" s="183">
        <v>555</v>
      </c>
      <c r="K12" s="183">
        <v>438</v>
      </c>
      <c r="L12" s="183">
        <v>2786</v>
      </c>
      <c r="M12" s="183">
        <v>79</v>
      </c>
      <c r="N12" s="183">
        <v>175</v>
      </c>
      <c r="O12" s="181">
        <v>258</v>
      </c>
      <c r="P12" s="183">
        <v>122</v>
      </c>
      <c r="Q12" s="183">
        <v>39</v>
      </c>
      <c r="R12" s="183">
        <v>2428</v>
      </c>
      <c r="S12" s="183">
        <v>2214</v>
      </c>
      <c r="T12" s="183">
        <v>527</v>
      </c>
      <c r="U12" s="183">
        <v>456</v>
      </c>
      <c r="V12" s="183">
        <v>2285</v>
      </c>
      <c r="W12" s="183">
        <v>125</v>
      </c>
      <c r="X12" s="189">
        <v>225</v>
      </c>
      <c r="Y12" s="191">
        <v>104</v>
      </c>
      <c r="Z12" s="181">
        <v>50</v>
      </c>
      <c r="AA12" s="181">
        <v>41</v>
      </c>
      <c r="AB12" s="181">
        <v>113</v>
      </c>
      <c r="AC12" s="183">
        <v>0</v>
      </c>
      <c r="AD12" s="183">
        <v>0</v>
      </c>
      <c r="AE12" s="183">
        <v>0</v>
      </c>
      <c r="AF12" s="189">
        <v>0</v>
      </c>
      <c r="AG12" s="202">
        <v>117</v>
      </c>
      <c r="AH12" s="183">
        <v>52</v>
      </c>
      <c r="AI12" s="183">
        <v>49</v>
      </c>
      <c r="AJ12" s="203">
        <v>120</v>
      </c>
      <c r="AK12" s="182">
        <v>0</v>
      </c>
      <c r="AL12" s="183">
        <v>0</v>
      </c>
      <c r="AM12" s="183">
        <v>0</v>
      </c>
      <c r="AN12" s="189">
        <v>0</v>
      </c>
      <c r="AO12" s="259">
        <v>3</v>
      </c>
      <c r="AP12" s="155">
        <v>3</v>
      </c>
      <c r="AQ12" s="155">
        <v>3</v>
      </c>
      <c r="AR12" s="154">
        <v>3</v>
      </c>
      <c r="AS12" s="340" t="s">
        <v>802</v>
      </c>
      <c r="AT12" s="203"/>
      <c r="AU12" s="202"/>
      <c r="AV12" s="203"/>
      <c r="AW12" s="202"/>
      <c r="AX12" s="203"/>
      <c r="AY12" s="126">
        <f t="shared" si="1"/>
        <v>2331</v>
      </c>
      <c r="AZ12" s="127">
        <f t="shared" si="1"/>
        <v>579</v>
      </c>
      <c r="BA12" s="127">
        <f t="shared" si="1"/>
        <v>505</v>
      </c>
      <c r="BB12" s="127">
        <f t="shared" si="1"/>
        <v>2405</v>
      </c>
      <c r="BC12" s="125">
        <f>IF(ISNUMBER(X12),X12," - ")</f>
        <v>225</v>
      </c>
      <c r="BD12" s="126">
        <f t="shared" si="2"/>
        <v>0.87219343696027629</v>
      </c>
      <c r="BE12" s="127">
        <f t="shared" si="3"/>
        <v>4.7623762376237622</v>
      </c>
      <c r="BF12" s="127">
        <f t="shared" si="4"/>
        <v>0.44554455445544555</v>
      </c>
      <c r="BG12" s="196">
        <f t="shared" si="5"/>
        <v>5.7623762376237622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2685</v>
      </c>
      <c r="J13" s="184">
        <f t="shared" si="6"/>
        <v>561</v>
      </c>
      <c r="K13" s="184">
        <f t="shared" si="6"/>
        <v>445</v>
      </c>
      <c r="L13" s="184">
        <f t="shared" si="6"/>
        <v>2801</v>
      </c>
      <c r="M13" s="184">
        <f t="shared" si="6"/>
        <v>84</v>
      </c>
      <c r="N13" s="184">
        <f t="shared" si="6"/>
        <v>175</v>
      </c>
      <c r="O13" s="184">
        <f t="shared" si="6"/>
        <v>260</v>
      </c>
      <c r="P13" s="184">
        <f t="shared" si="6"/>
        <v>122</v>
      </c>
      <c r="Q13" s="184">
        <f t="shared" si="6"/>
        <v>39</v>
      </c>
      <c r="R13" s="184">
        <f t="shared" si="6"/>
        <v>2428</v>
      </c>
      <c r="S13" s="184">
        <f t="shared" si="6"/>
        <v>2222</v>
      </c>
      <c r="T13" s="184">
        <f t="shared" si="6"/>
        <v>531</v>
      </c>
      <c r="U13" s="184">
        <f t="shared" si="6"/>
        <v>458</v>
      </c>
      <c r="V13" s="184">
        <f t="shared" si="6"/>
        <v>2295</v>
      </c>
      <c r="W13" s="184">
        <f t="shared" si="6"/>
        <v>126</v>
      </c>
      <c r="X13" s="184">
        <f t="shared" si="6"/>
        <v>226</v>
      </c>
      <c r="Y13" s="184">
        <f t="shared" si="6"/>
        <v>104</v>
      </c>
      <c r="Z13" s="184">
        <f t="shared" si="6"/>
        <v>50</v>
      </c>
      <c r="AA13" s="184">
        <f t="shared" si="6"/>
        <v>41</v>
      </c>
      <c r="AB13" s="184">
        <f t="shared" si="6"/>
        <v>113</v>
      </c>
      <c r="AC13" s="184">
        <f t="shared" si="6"/>
        <v>0</v>
      </c>
      <c r="AD13" s="184">
        <f t="shared" si="6"/>
        <v>0</v>
      </c>
      <c r="AE13" s="184">
        <f t="shared" si="6"/>
        <v>0</v>
      </c>
      <c r="AF13" s="184">
        <f>SUBTOTAL(9,AF9:AF12)</f>
        <v>0</v>
      </c>
      <c r="AG13" s="184">
        <f t="shared" ref="AG13:AT13" si="7">SUBTOTAL(9,AG8:AG12)</f>
        <v>117</v>
      </c>
      <c r="AH13" s="184">
        <f t="shared" si="7"/>
        <v>52</v>
      </c>
      <c r="AI13" s="184">
        <f t="shared" si="7"/>
        <v>49</v>
      </c>
      <c r="AJ13" s="184">
        <f t="shared" si="7"/>
        <v>120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2339</v>
      </c>
      <c r="AZ13" s="184">
        <f>SUBTOTAL(9,AZ8:AZ12)</f>
        <v>583</v>
      </c>
      <c r="BA13" s="184">
        <f>SUBTOTAL(9,BA8:BA12)</f>
        <v>507</v>
      </c>
      <c r="BB13" s="184">
        <f>SUBTOTAL(9,BB8:BB12)</f>
        <v>2415</v>
      </c>
      <c r="BC13" s="184">
        <f>SUBTOTAL(9,BC8:BC12)</f>
        <v>226</v>
      </c>
      <c r="BD13" s="205">
        <f>IF(ISNUMBER(BA13/AZ13),BA13/AZ13," - ")</f>
        <v>0.869639794168096</v>
      </c>
      <c r="BE13" s="206">
        <f>IF(ISNUMBER(BB13/BA13),BB13/BA13, " - ")</f>
        <v>4.7633136094674553</v>
      </c>
      <c r="BF13" s="206">
        <f>IF(ISNUMBER(BC13/BA13),BC13/BA13, " - ")</f>
        <v>0.44575936883629191</v>
      </c>
      <c r="BG13" s="207">
        <f>IF(ISNUMBER((AY13+AZ13)/BA13),(AY13+AZ13)/BA13," - ")</f>
        <v>5.7633136094674553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752</v>
      </c>
      <c r="J16" s="183">
        <v>654</v>
      </c>
      <c r="K16" s="183">
        <v>579</v>
      </c>
      <c r="L16" s="183">
        <v>827</v>
      </c>
      <c r="M16" s="183">
        <v>79</v>
      </c>
      <c r="N16" s="183">
        <v>329</v>
      </c>
      <c r="O16" s="181">
        <v>0</v>
      </c>
      <c r="P16" s="183">
        <v>22</v>
      </c>
      <c r="Q16" s="183">
        <v>39</v>
      </c>
      <c r="R16" s="183">
        <v>136</v>
      </c>
      <c r="S16" s="183">
        <v>897</v>
      </c>
      <c r="T16" s="183">
        <v>803</v>
      </c>
      <c r="U16" s="183">
        <v>871</v>
      </c>
      <c r="V16" s="183">
        <v>829</v>
      </c>
      <c r="W16" s="183">
        <v>128</v>
      </c>
      <c r="X16" s="189">
        <v>467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897</v>
      </c>
      <c r="AZ16" s="127">
        <f t="shared" si="9"/>
        <v>803</v>
      </c>
      <c r="BA16" s="127">
        <f t="shared" si="9"/>
        <v>871</v>
      </c>
      <c r="BB16" s="127">
        <f t="shared" si="9"/>
        <v>829</v>
      </c>
      <c r="BC16" s="125">
        <f>IF(ISNUMBER(W16),W16," - ")</f>
        <v>128</v>
      </c>
      <c r="BD16" s="126">
        <f t="shared" ref="BD16" si="11">IF(ISNUMBER(BA16/AZ16),BA16/AZ16," - ")</f>
        <v>1.0846824408468243</v>
      </c>
      <c r="BE16" s="127">
        <f t="shared" ref="BE16" si="12">IF(ISNUMBER(BB16/BA16),BB16/BA16, " - ")</f>
        <v>0.95177956371986228</v>
      </c>
      <c r="BF16" s="127">
        <f t="shared" ref="BF16" si="13">IF(ISNUMBER(BC16/BA16),BC16/BA16, " - ")</f>
        <v>0.14695752009184845</v>
      </c>
      <c r="BG16" s="196">
        <f t="shared" si="10"/>
        <v>1.9517795637198623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73</v>
      </c>
      <c r="K17" s="183">
        <v>67</v>
      </c>
      <c r="L17" s="183">
        <v>73</v>
      </c>
      <c r="M17" s="183">
        <v>5</v>
      </c>
      <c r="N17" s="183">
        <v>40</v>
      </c>
      <c r="O17" s="183">
        <v>0</v>
      </c>
      <c r="P17" s="183">
        <v>1</v>
      </c>
      <c r="Q17" s="183">
        <v>2</v>
      </c>
      <c r="R17" s="183">
        <v>3</v>
      </c>
      <c r="S17" s="183">
        <v>38</v>
      </c>
      <c r="T17" s="183">
        <v>42</v>
      </c>
      <c r="U17" s="183">
        <v>43</v>
      </c>
      <c r="V17" s="183">
        <v>37</v>
      </c>
      <c r="W17" s="183">
        <v>4</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42</v>
      </c>
      <c r="BA17" s="129">
        <f t="shared" si="14"/>
        <v>43</v>
      </c>
      <c r="BB17" s="129">
        <f t="shared" si="14"/>
        <v>37</v>
      </c>
      <c r="BC17" s="125">
        <f>IF(ISNUMBER(W17),W17," - ")</f>
        <v>4</v>
      </c>
      <c r="BD17" s="126">
        <f>IF(ISNUMBER(BA17/AZ17),BA17/AZ17," - ")</f>
        <v>1.0238095238095237</v>
      </c>
      <c r="BE17" s="127">
        <f>IF(ISNUMBER(BB17/BA17),BB17/BA17, " - ")</f>
        <v>0.86046511627906974</v>
      </c>
      <c r="BF17" s="127">
        <f>IF(ISNUMBER(BC17/BA17),BC17/BA17, " - ")</f>
        <v>9.3023255813953487E-2</v>
      </c>
      <c r="BG17" s="196">
        <f>IF(ISNUMBER((AY17+AZ17)/BA17),(AY17+AZ17)/BA17," - ")</f>
        <v>1.8604651162790697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819</v>
      </c>
      <c r="J18" s="184">
        <f t="shared" si="15"/>
        <v>727</v>
      </c>
      <c r="K18" s="184">
        <f t="shared" si="15"/>
        <v>646</v>
      </c>
      <c r="L18" s="184">
        <f t="shared" si="15"/>
        <v>900</v>
      </c>
      <c r="M18" s="184">
        <f t="shared" si="15"/>
        <v>84</v>
      </c>
      <c r="N18" s="184">
        <f t="shared" si="15"/>
        <v>369</v>
      </c>
      <c r="O18" s="184">
        <f t="shared" si="15"/>
        <v>0</v>
      </c>
      <c r="P18" s="184">
        <f t="shared" si="15"/>
        <v>23</v>
      </c>
      <c r="Q18" s="184">
        <f t="shared" si="15"/>
        <v>41</v>
      </c>
      <c r="R18" s="184">
        <f t="shared" si="15"/>
        <v>139</v>
      </c>
      <c r="S18" s="184">
        <f t="shared" si="15"/>
        <v>935</v>
      </c>
      <c r="T18" s="184">
        <f t="shared" si="15"/>
        <v>845</v>
      </c>
      <c r="U18" s="184">
        <f t="shared" si="15"/>
        <v>914</v>
      </c>
      <c r="V18" s="184">
        <f t="shared" si="15"/>
        <v>866</v>
      </c>
      <c r="W18" s="184">
        <f t="shared" si="15"/>
        <v>132</v>
      </c>
      <c r="X18" s="184">
        <f t="shared" si="15"/>
        <v>496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935</v>
      </c>
      <c r="AZ18" s="184">
        <f>SUBTOTAL(9,AZ14:AZ17)</f>
        <v>845</v>
      </c>
      <c r="BA18" s="184">
        <f>SUBTOTAL(9,BA14:BA17)</f>
        <v>914</v>
      </c>
      <c r="BB18" s="184">
        <f>SUBTOTAL(9,BB14:BB17)</f>
        <v>866</v>
      </c>
      <c r="BC18" s="184">
        <f>SUBTOTAL(9,BC14:BC17)</f>
        <v>132</v>
      </c>
      <c r="BD18" s="205">
        <f>IF(ISNUMBER(BA18/AZ18),BA18/AZ18," - ")</f>
        <v>1.0816568047337278</v>
      </c>
      <c r="BE18" s="206">
        <f>IF(ISNUMBER(BB18/BA18),BB18/BA18, " - ")</f>
        <v>0.94748358862144422</v>
      </c>
      <c r="BF18" s="206">
        <f>IF(ISNUMBER(BC18/BA18),BC18/BA18, " - ")</f>
        <v>0.14442013129102846</v>
      </c>
      <c r="BG18" s="207">
        <f>IF(ISNUMBER((AY18+AZ18)/BA18),(AY18+AZ18)/BA18," - ")</f>
        <v>1.9474835886214441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3504</v>
      </c>
      <c r="J19" s="134">
        <f t="shared" si="18"/>
        <v>1288</v>
      </c>
      <c r="K19" s="134">
        <f t="shared" si="18"/>
        <v>1091</v>
      </c>
      <c r="L19" s="134">
        <f t="shared" si="18"/>
        <v>3701</v>
      </c>
      <c r="M19" s="134">
        <f t="shared" si="18"/>
        <v>168</v>
      </c>
      <c r="N19" s="134">
        <f t="shared" si="18"/>
        <v>544</v>
      </c>
      <c r="O19" s="134">
        <f t="shared" si="18"/>
        <v>260</v>
      </c>
      <c r="P19" s="134">
        <f t="shared" si="18"/>
        <v>145</v>
      </c>
      <c r="Q19" s="134">
        <f t="shared" si="18"/>
        <v>80</v>
      </c>
      <c r="R19" s="134">
        <f t="shared" si="18"/>
        <v>2567</v>
      </c>
      <c r="S19" s="134">
        <f t="shared" si="18"/>
        <v>3157</v>
      </c>
      <c r="T19" s="134">
        <f t="shared" si="18"/>
        <v>1376</v>
      </c>
      <c r="U19" s="134">
        <f t="shared" si="18"/>
        <v>1372</v>
      </c>
      <c r="V19" s="134">
        <f t="shared" si="18"/>
        <v>3161</v>
      </c>
      <c r="W19" s="134">
        <f t="shared" si="18"/>
        <v>258</v>
      </c>
      <c r="X19" s="134">
        <f t="shared" si="18"/>
        <v>722</v>
      </c>
      <c r="Y19" s="134">
        <f t="shared" si="18"/>
        <v>104</v>
      </c>
      <c r="Z19" s="134">
        <f t="shared" si="18"/>
        <v>50</v>
      </c>
      <c r="AA19" s="134">
        <f t="shared" si="18"/>
        <v>41</v>
      </c>
      <c r="AB19" s="134">
        <f t="shared" si="18"/>
        <v>113</v>
      </c>
      <c r="AC19" s="134">
        <f t="shared" si="18"/>
        <v>0</v>
      </c>
      <c r="AD19" s="134">
        <f t="shared" si="18"/>
        <v>0</v>
      </c>
      <c r="AE19" s="134">
        <f t="shared" si="18"/>
        <v>0</v>
      </c>
      <c r="AF19" s="134">
        <f t="shared" si="18"/>
        <v>0</v>
      </c>
      <c r="AG19" s="134">
        <f t="shared" si="18"/>
        <v>117</v>
      </c>
      <c r="AH19" s="134">
        <f t="shared" si="18"/>
        <v>52</v>
      </c>
      <c r="AI19" s="134">
        <f t="shared" si="18"/>
        <v>49</v>
      </c>
      <c r="AJ19" s="134">
        <f t="shared" si="18"/>
        <v>120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3274</v>
      </c>
      <c r="AZ19" s="134">
        <f>SUBTOTAL(9,AZ9:AZ18)</f>
        <v>1428</v>
      </c>
      <c r="BA19" s="134">
        <f>SUBTOTAL(9,BA9:BA18)</f>
        <v>1421</v>
      </c>
      <c r="BB19" s="134">
        <f>SUBTOTAL(9,BB9:BB18)</f>
        <v>3281</v>
      </c>
      <c r="BC19" s="135">
        <f>SUBTOTAL(9,BC9:BC18)</f>
        <v>358</v>
      </c>
      <c r="BD19" s="213">
        <f>IF(ISNUMBER(BA19/AZ19),BA19/AZ19," - ")</f>
        <v>0.99509803921568629</v>
      </c>
      <c r="BE19" s="210">
        <f>IF(ISNUMBER(BB19/BA19),BB19/BA19, " - ")</f>
        <v>2.3089373680506684</v>
      </c>
      <c r="BF19" s="210">
        <f>IF(ISNUMBER(BC19/BA19),BC19/BA19, " - ")</f>
        <v>0.25193525686136525</v>
      </c>
      <c r="BG19" s="135">
        <f>IF(ISNUMBER((AY19+AZ19)/BA19),(AY19+AZ19)/BA19," - ")</f>
        <v>3.3089373680506684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NWLgwxHBqltlBW9MAwiMxXtScNBlwckNRQ22Bve8S9Dj57g6ezSsB+WII1UzzL5DkuWUU+iOZWBxPUP3YbXg==" saltValue="MLxFu2WfcWKm3tT6aX69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X+rOKiQ5JWvwcl7MQ+INH6ZrOz3+xv0+7ZGZCqg3Oi4r2j1vfakfcNMR84x6wJx05bgN+44QjKuOHjAF/9yg==" saltValue="sS5SSge6f6VHRadhH7/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1.1666666666666667</v>
      </c>
      <c r="BH10" s="260">
        <f>IF(ISNUMBER(((Datos!L10/Datos!K10)*11)/factor_trimestre),((Datos!L10/Datos!K10)*11)/factor_trimestre," - ")</f>
        <v>6.4285714285714279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122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113</v>
      </c>
      <c r="AI12" s="334" t="str">
        <f>IF(ISNUMBER(Datos!CD12),Datos!CD12,"-")</f>
        <v>-</v>
      </c>
      <c r="AJ12" s="334" t="str">
        <f>IF(ISNUMBER(Datos!EN12),Datos!EN12," - ")</f>
        <v xml:space="preserve"> - </v>
      </c>
      <c r="AK12" s="334"/>
      <c r="AL12" s="479"/>
      <c r="AM12" s="335">
        <f>IF(ISNUMBER(Datos!R12),Datos!R12," - ")</f>
        <v>2428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0.79173553719008261</v>
      </c>
      <c r="BH12" s="260">
        <f>IF(ISNUMBER(((IF(J_V="SI",Datos!L12/Datos!K12,(Datos!L12+Datos!AB12)/(Datos!K12+Datos!AA12)))*11)/factor_trimestre),((IF(J_V="SI",Datos!L12/Datos!K12,(Datos!L12+Datos!AB12)/(Datos!K12+Datos!AA12)))*11)/factor_trimestre," - ")</f>
        <v>18.156576200417536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3.5394456289978678E-2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122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39</v>
      </c>
      <c r="AD13" s="899">
        <f t="shared" si="1"/>
        <v>0</v>
      </c>
      <c r="AE13" s="899">
        <f t="shared" si="1"/>
        <v>0</v>
      </c>
      <c r="AF13" s="899">
        <f t="shared" si="1"/>
        <v>15</v>
      </c>
      <c r="AG13" s="899">
        <f t="shared" si="1"/>
        <v>0</v>
      </c>
      <c r="AH13" s="899">
        <f t="shared" si="1"/>
        <v>113</v>
      </c>
      <c r="AI13" s="899">
        <f t="shared" si="1"/>
        <v>0</v>
      </c>
      <c r="AJ13" s="899">
        <f t="shared" si="1"/>
        <v>0</v>
      </c>
      <c r="AK13" s="899">
        <f t="shared" si="1"/>
        <v>0</v>
      </c>
      <c r="AL13" s="899">
        <f t="shared" si="1"/>
        <v>0</v>
      </c>
      <c r="AM13" s="899">
        <f t="shared" si="1"/>
        <v>2428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175</v>
      </c>
      <c r="BE13" s="899">
        <f t="shared" si="1"/>
        <v>0</v>
      </c>
      <c r="BF13" s="899">
        <f t="shared" si="1"/>
        <v>0</v>
      </c>
      <c r="BG13" s="899">
        <f>IF(ISNUMBER(Datos!K13/Datos!J13),Datos!K13/Datos!J13," - ")</f>
        <v>0.79322638146167557</v>
      </c>
      <c r="BH13" s="903">
        <f>IF(ISNUMBER(((Datos!L13/Datos!K13)*11)/factor_trimestre),((Datos!L13/Datos!K13)*11)/factor_trimestre," - ")</f>
        <v>18.88314606741573</v>
      </c>
      <c r="BI13" s="899">
        <f>IF(ISNUMBER('Resol  Asuntos'!D13/NºAsuntos!G13),'Resol  Asuntos'!D13/NºAsuntos!G13," - ")</f>
        <v>0.1728395061728395</v>
      </c>
      <c r="BJ13" s="899" t="str">
        <f>IF(ISNUMBER(Datos!CI13/Datos!CJ13),Datos!CI13/Datos!CJ13," - ")</f>
        <v xml:space="preserve"> - </v>
      </c>
      <c r="BK13" s="899">
        <f>SUBTOTAL(9,BK8:BK12)</f>
        <v>0</v>
      </c>
      <c r="BL13" s="899">
        <f>IF(ISNUMBER((I13-AB13+L13)/(F13)),(I13-AB13+L13)/(F13)," - ")</f>
        <v>-0.4375</v>
      </c>
      <c r="BM13" s="904">
        <f>SUBTOTAL(9,BM9:BM12)</f>
        <v>3.5394456289978678E-2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752</v>
      </c>
      <c r="G16" s="598">
        <f>IF(ISNUMBER(IF(D_I="SI",Datos!I16,Datos!I16+Datos!AC16)),IF(D_I="SI",Datos!I16,Datos!I16+Datos!AC16)," - ")</f>
        <v>752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579</v>
      </c>
      <c r="AC16" s="226">
        <f>IF(ISNUMBER(Datos!Q16),Datos!Q16," - ")</f>
        <v>39</v>
      </c>
      <c r="AD16" s="334"/>
      <c r="AE16" s="484"/>
      <c r="AF16" s="596">
        <f>IF(ISNUMBER(IF(D_I="SI",Datos!L16,Datos!L16+Datos!AF16)),IF(D_I="SI",Datos!L16,Datos!L16+Datos!AF16)," - ")</f>
        <v>827</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329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0.88532110091743121</v>
      </c>
      <c r="BH16" s="260">
        <f>IF(ISNUMBER(((IF(D_I="SI",Datos!L16/Datos!K16,(Datos!L16+Datos!AF16)/(Datos!K16+Datos!AE16)))*11)/factor_trimestre),((IF(D_I="SI",Datos!L16/Datos!K16,(Datos!L16+Datos!AF16)/(Datos!K16+Datos!AE16)))*11)/factor_trimestre," - ")</f>
        <v>4.2849740932642488</v>
      </c>
      <c r="BI16" s="243">
        <f>IF(ISNUMBER('Resol  Asuntos'!D16/NºAsuntos!G16),'Resol  Asuntos'!D16/NºAsuntos!G16," - ")</f>
        <v>0.13644214162348878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2</v>
      </c>
      <c r="AD17" s="334"/>
      <c r="AE17" s="484"/>
      <c r="AF17" s="332">
        <f>IF(ISNUMBER(Datos!L17),Datos!L17,"-")</f>
        <v>73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0.9178082191780822</v>
      </c>
      <c r="BH17" s="260">
        <f>IF(ISNUMBER(((IF(D_I="SI",Datos!L17/Datos!K17,(Datos!L17+Datos!AF17)/(Datos!K17+Datos!AE17)))*11)/factor_trimestre),((IF(D_I="SI",Datos!L17/Datos!K17,(Datos!L17+Datos!AF17)/(Datos!K17+Datos!AE17)))*11)/factor_trimestre," - ")</f>
        <v>3.2686567164179103</v>
      </c>
      <c r="BI17" s="243">
        <f>IF(ISNUMBER('Resol  Asuntos'!D17/NºAsuntos!G17),'Resol  Asuntos'!D17/NºAsuntos!G17," - ")</f>
        <v>7.4626865671641784E-2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752</v>
      </c>
      <c r="G18" s="898">
        <f>SUBTOTAL(9,G15:G17)</f>
        <v>819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646</v>
      </c>
      <c r="AC18" s="899">
        <f t="shared" si="4"/>
        <v>41</v>
      </c>
      <c r="AD18" s="899">
        <f t="shared" si="4"/>
        <v>0</v>
      </c>
      <c r="AE18" s="899">
        <f t="shared" si="4"/>
        <v>0</v>
      </c>
      <c r="AF18" s="899">
        <f t="shared" si="4"/>
        <v>900</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84</v>
      </c>
      <c r="BD18" s="899">
        <f t="shared" si="4"/>
        <v>369</v>
      </c>
      <c r="BE18" s="899">
        <f t="shared" si="4"/>
        <v>0</v>
      </c>
      <c r="BF18" s="899">
        <f t="shared" si="4"/>
        <v>0</v>
      </c>
      <c r="BG18" s="899">
        <f>IF(ISNUMBER(Datos!K18/Datos!J18),Datos!K18/Datos!J18," - ")</f>
        <v>0.88858321870701518</v>
      </c>
      <c r="BH18" s="903">
        <f>IF(ISNUMBER(((Datos!L18/Datos!K18)*11)/factor_trimestre),((Datos!L18/Datos!K18)*11)/factor_trimestre," - ")</f>
        <v>4.1795665634674926</v>
      </c>
      <c r="BI18" s="899">
        <f>SUBTOTAL(9,BI15:BI17)</f>
        <v>0.21106900729513056</v>
      </c>
      <c r="BJ18" s="899">
        <f>SUBTOTAL(9,BJ15:BJ17)</f>
        <v>0</v>
      </c>
      <c r="BK18" s="899">
        <f>SUBTOTAL(9,BK15:BK17)</f>
        <v>0</v>
      </c>
      <c r="BL18" s="899">
        <f>IF(ISNUMBER((I18-AB18+L18)/(F18)),(I18-AB18+L18)/(F18)," - ")</f>
        <v>-0.85904255319148937</v>
      </c>
      <c r="BM18" s="905">
        <f>IF(ISNUMBER((Datos!P18-Datos!Q18)/(Datos!R18-Datos!P18+Datos!Q18)),(Datos!P18-Datos!Q18)/(Datos!R18-Datos!P18+Datos!Q18)," - ")</f>
        <v>-0.11464968152866242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768</v>
      </c>
      <c r="G19" s="820">
        <f t="shared" si="6"/>
        <v>835</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653</v>
      </c>
      <c r="AC19" s="821">
        <f t="shared" si="7"/>
        <v>80</v>
      </c>
      <c r="AD19" s="821">
        <f t="shared" si="7"/>
        <v>0</v>
      </c>
      <c r="AE19" s="821">
        <f t="shared" si="7"/>
        <v>0</v>
      </c>
      <c r="AF19" s="828">
        <f t="shared" si="7"/>
        <v>915</v>
      </c>
      <c r="AG19" s="828">
        <f t="shared" si="7"/>
        <v>0</v>
      </c>
      <c r="AH19" s="828">
        <f t="shared" si="7"/>
        <v>113</v>
      </c>
      <c r="AI19" s="828">
        <f t="shared" si="7"/>
        <v>0</v>
      </c>
      <c r="AJ19" s="821">
        <f t="shared" si="7"/>
        <v>0</v>
      </c>
      <c r="AK19" s="828">
        <f t="shared" si="7"/>
        <v>0</v>
      </c>
      <c r="AL19" s="828">
        <f t="shared" si="7"/>
        <v>0</v>
      </c>
      <c r="AM19" s="828">
        <f t="shared" si="7"/>
        <v>2567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v>
      </c>
      <c r="BD19" s="820">
        <f t="shared" si="7"/>
        <v>544</v>
      </c>
      <c r="BE19" s="820">
        <f t="shared" si="7"/>
        <v>0</v>
      </c>
      <c r="BF19" s="830">
        <f t="shared" si="7"/>
        <v>0</v>
      </c>
      <c r="BG19" s="915">
        <f>IF(ISNUMBER(Datos!K19/Datos!J19),Datos!K19/Datos!J19," - ")</f>
        <v>0.84704968944099379</v>
      </c>
      <c r="BH19" s="915">
        <f>IF(ISNUMBER(((Datos!L19/Datos!K19)*11)/factor_trimestre),((Datos!L19/Datos!K19)*11)/factor_trimestre," - ")</f>
        <v>10.176901924839598</v>
      </c>
      <c r="BI19" s="813">
        <f>IF(ISNUMBER(Datos!J19/Datos!I19),Datos!J19/Datos!I19," - ")</f>
        <v>0.36757990867579909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-0.85026041666666663</v>
      </c>
      <c r="BM19" s="889">
        <f>IF(ISNUMBER((Datos!P19-Datos!Q19+R19)/(Datos!R19-Datos!P19+Datos!Q19-R19)),(Datos!P19-Datos!Q19+R19)/(Datos!R19-Datos!P19+Datos!Q19-R19)," - ")</f>
        <v>2.597921662669864E-2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424.92979812356458</v>
      </c>
      <c r="G21" s="552">
        <f>IF(ISNUMBER(STDEV(G8:G18)),STDEV(G8:G18),"-")</f>
        <v>413.36606053230832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322.49682168976489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39.567663565088097</v>
      </c>
      <c r="BD21" s="551"/>
      <c r="BE21" s="551">
        <f>IF(ISNUMBER(STDEV(BE8:BE18)),STDEV(BE8:BE18),"-")</f>
        <v>0</v>
      </c>
      <c r="BF21" s="556">
        <f>IF(ISNUMBER(STDEV(BF8:BF18)),STDEV(BF8:BF18),"-")</f>
        <v>0</v>
      </c>
      <c r="BG21" s="775">
        <f>IF(ISNUMBER(STDEV(BG8:BG18)),STDEV(BG8:BG18),"-")</f>
        <v>0.13753747181868975</v>
      </c>
      <c r="BH21" s="776">
        <f>IF(ISNUMBER(STDEV(BH8:BH18)),STDEV(BH8:BH18),"-")</f>
        <v>7.2966767182739947</v>
      </c>
      <c r="BI21" s="249">
        <f>IF(ISNUMBER(STDEV(BI8:BI18)),STDEV(BI8:BI18),"-")</f>
        <v>5.805079750255774E-2</v>
      </c>
      <c r="BJ21" s="230" t="str">
        <f>IF(ISNUMBER(BL21/BM21),BL21/BM21," - ")</f>
        <v xml:space="preserve"> - </v>
      </c>
      <c r="BK21" s="575"/>
      <c r="BL21" s="559">
        <f>IF(ISNUMBER(STDEV(BL8:BL18)),STDEV(BL8:BL18),"-")</f>
        <v>0.29807559792039307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a0d3IxX5Y1iKtBkMbVXXGPZ8wIxw8wtz8A+ykGQPj26SNDFuwo1ZHIwJSOFF3lcUy0htvVfAVIJrhLkTq+FOQ==" saltValue="KQDilDhhsq+cJ30SIdJK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RONDA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6.4285714285714279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2428</v>
      </c>
      <c r="AF12" s="229" t="str">
        <f>IF(ISNUMBER(Datos!BV12),Datos!BV12," - ")</f>
        <v xml:space="preserve"> - </v>
      </c>
      <c r="AG12" s="225" t="str">
        <f>IF(ISNUMBER(Datos!DV12),Datos!DV12," - ")</f>
        <v xml:space="preserve"> - </v>
      </c>
      <c r="AH12" s="298"/>
      <c r="AI12" s="227"/>
      <c r="AJ12" s="225">
        <f>IF(ISNUMBER(Datos!M12),Datos!M12," - ")</f>
        <v>79</v>
      </c>
      <c r="AK12" s="229">
        <f>IF(ISNUMBER(Datos!N12),Datos!N12," - ")</f>
        <v>175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18.156576200417536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3.5394456289978678E-2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39</v>
      </c>
      <c r="AA13" s="900">
        <f t="shared" si="2"/>
        <v>15</v>
      </c>
      <c r="AB13" s="900">
        <f t="shared" si="2"/>
        <v>0</v>
      </c>
      <c r="AC13" s="900">
        <f t="shared" si="2"/>
        <v>0</v>
      </c>
      <c r="AD13" s="900">
        <f t="shared" si="2"/>
        <v>0</v>
      </c>
      <c r="AE13" s="900">
        <f t="shared" si="2"/>
        <v>2428</v>
      </c>
      <c r="AF13" s="908">
        <f t="shared" si="2"/>
        <v>0</v>
      </c>
      <c r="AG13" s="908">
        <f t="shared" si="2"/>
        <v>0</v>
      </c>
      <c r="AH13" s="908">
        <f t="shared" si="2"/>
        <v>0</v>
      </c>
      <c r="AI13" s="908">
        <f t="shared" si="2"/>
        <v>0</v>
      </c>
      <c r="AJ13" s="908">
        <f t="shared" si="2"/>
        <v>84</v>
      </c>
      <c r="AK13" s="908">
        <f t="shared" si="2"/>
        <v>175</v>
      </c>
      <c r="AL13" s="908">
        <f t="shared" si="2"/>
        <v>0</v>
      </c>
      <c r="AM13" s="908">
        <f t="shared" si="2"/>
        <v>0</v>
      </c>
      <c r="AN13" s="908">
        <f t="shared" si="2"/>
        <v>0</v>
      </c>
      <c r="AO13" s="904">
        <f>IF(ISNUMBER(((NºAsuntos!I13/NºAsuntos!G13)*11)/factor_trimestre),((NºAsuntos!I13/NºAsuntos!G13)*11)/factor_trimestre," - ")</f>
        <v>17.987654320987655</v>
      </c>
      <c r="AP13" s="910" t="str">
        <f>IF(ISNUMBER(Datos!CI13/Datos!CJ13),Datos!CI13/Datos!CJ13," - ")</f>
        <v xml:space="preserve"> - </v>
      </c>
      <c r="AQ13" s="928">
        <f t="shared" ref="AQ13:AV13" si="3">SUBTOTAL(9,AQ9:AQ12)</f>
        <v>0</v>
      </c>
      <c r="AR13" s="928">
        <f t="shared" si="3"/>
        <v>3.5394456289978678E-2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752</v>
      </c>
      <c r="G16" s="225">
        <f>IF(ISNUMBER(IF(D_I="SI",Datos!I16,Datos!I16+Datos!AC16)),IF(D_I="SI",Datos!I16,Datos!I16+Datos!AC16)," - ")</f>
        <v>752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579</v>
      </c>
      <c r="Z16" s="619">
        <f>IF(ISNUMBER(Datos!Q16),Datos!Q16," - ")</f>
        <v>39</v>
      </c>
      <c r="AA16" s="332">
        <f>IF(ISNUMBER(IF(D_I="SI",Datos!L16,Datos!L16+Datos!AF16)),IF(D_I="SI",Datos!L16,Datos!L16+Datos!AF16)," - ")</f>
        <v>827</v>
      </c>
      <c r="AB16" s="334"/>
      <c r="AC16" s="334"/>
      <c r="AD16" s="484"/>
      <c r="AE16" s="484">
        <f>IF(ISNUMBER(Datos!R16),Datos!R16," - ")</f>
        <v>136</v>
      </c>
      <c r="AF16" s="229" t="str">
        <f>IF(ISNUMBER(Datos!BV16),Datos!BV16," - ")</f>
        <v xml:space="preserve"> - </v>
      </c>
      <c r="AG16" s="225"/>
      <c r="AH16" s="298"/>
      <c r="AI16" s="227"/>
      <c r="AJ16" s="225">
        <f>IF(ISNUMBER(Datos!M16),Datos!M16," - ")</f>
        <v>79</v>
      </c>
      <c r="AK16" s="229">
        <f>IF(ISNUMBER(Datos!N16),Datos!N16," - ")</f>
        <v>329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4.2849740932642488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2</v>
      </c>
      <c r="AA17" s="332">
        <f>IF(ISNUMBER(Datos!L17),Datos!L17,"-")</f>
        <v>73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5</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3.2686567164179103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752</v>
      </c>
      <c r="G18" s="898">
        <f>SUBTOTAL(9,G15:G17)</f>
        <v>819</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646</v>
      </c>
      <c r="Z18" s="932">
        <f t="shared" si="5"/>
        <v>41</v>
      </c>
      <c r="AA18" s="932">
        <f t="shared" si="5"/>
        <v>900</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84</v>
      </c>
      <c r="AK18" s="932">
        <f t="shared" si="5"/>
        <v>369</v>
      </c>
      <c r="AL18" s="932">
        <f t="shared" si="5"/>
        <v>0</v>
      </c>
      <c r="AM18" s="932">
        <f t="shared" si="5"/>
        <v>0</v>
      </c>
      <c r="AN18" s="932">
        <f t="shared" si="5"/>
        <v>0</v>
      </c>
      <c r="AO18" s="934">
        <f>IF(ISNUMBER(((NºAsuntos!I18/NºAsuntos!G18)*11)/factor_trimestre),((NºAsuntos!I18/NºAsuntos!G18)*11)/factor_trimestre," - ")</f>
        <v>4.1795665634674926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768</v>
      </c>
      <c r="G19" s="820">
        <f t="shared" si="7"/>
        <v>835</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653</v>
      </c>
      <c r="Z19" s="827">
        <f t="shared" si="8"/>
        <v>80</v>
      </c>
      <c r="AA19" s="828">
        <f t="shared" si="8"/>
        <v>915</v>
      </c>
      <c r="AB19" s="828">
        <f t="shared" si="8"/>
        <v>0</v>
      </c>
      <c r="AC19" s="828">
        <f t="shared" si="8"/>
        <v>0</v>
      </c>
      <c r="AD19" s="829">
        <f t="shared" si="8"/>
        <v>0</v>
      </c>
      <c r="AE19" s="829">
        <f t="shared" si="8"/>
        <v>2567</v>
      </c>
      <c r="AF19" s="830">
        <f t="shared" si="8"/>
        <v>0</v>
      </c>
      <c r="AG19" s="831">
        <f t="shared" si="8"/>
        <v>0</v>
      </c>
      <c r="AH19" s="832">
        <f t="shared" si="8"/>
        <v>0</v>
      </c>
      <c r="AI19" s="830">
        <f t="shared" si="8"/>
        <v>0</v>
      </c>
      <c r="AJ19" s="820">
        <f t="shared" si="8"/>
        <v>168</v>
      </c>
      <c r="AK19" s="820">
        <f t="shared" si="8"/>
        <v>544</v>
      </c>
      <c r="AL19" s="820">
        <f t="shared" si="8"/>
        <v>0</v>
      </c>
      <c r="AM19" s="833">
        <f t="shared" si="8"/>
        <v>0</v>
      </c>
      <c r="AN19" s="823">
        <f>IF(ISNUMBER(Datos!K19/Datos!J19),Datos!K19/Datos!J19," - ")</f>
        <v>0.84704968944099379</v>
      </c>
      <c r="AO19" s="823">
        <f>IF(ISNUMBER(FIND("06",Criterios!A8,1)),(IF(ISNUMBER(((Datos!R19/Datos!Q19)*11)/factor_trimestre),((Datos!R19/Datos!Q19)*11)/factor_trimestre," - ")),(IF(ISNUMBER(((Datos!L19/Datos!K19)*11)/factor_trimestre),((Datos!L19/Datos!K19)*11)/factor_trimestre," - ")))</f>
        <v>10.176901924839598</v>
      </c>
      <c r="AP19" s="834" t="str">
        <f>IF(ISNUMBER(Datos!CI19/Datos!CJ19),Datos!CI19/Datos!CJ19," - ")</f>
        <v xml:space="preserve"> - </v>
      </c>
      <c r="AQ19" s="834">
        <f>IF(OR(ISNUMBER(FIND("01",Criterios!A8,1)),ISNUMBER(FIND("02",Criterios!A8,1)),ISNUMBER(FIND("03",Criterios!A8,1)),ISNUMBER(FIND("04",Criterios!A8,1))),(J19-Y19+K19)/(F19-K19),(I19-Y19+K19)/(F19-K19))</f>
        <v>-0.85026041666666663</v>
      </c>
      <c r="AR19" s="834">
        <f>IF(ISNUMBER((Datos!P19-Datos!Q19+O19)/(Datos!R19-Datos!P19+Datos!Q19-O19)),(Datos!P19-Datos!Q19+O19)/(Datos!R19-Datos!P19+Datos!Q19-O19)," - ")</f>
        <v>2.597921662669864E-2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424.92979812356458</v>
      </c>
      <c r="G21" s="552">
        <f>IF(ISNUMBER(STDEV(G8:G18)),STDEV(G8:G18),"-")</f>
        <v>413.36606053230832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39.567663565088097</v>
      </c>
      <c r="AK21" s="252"/>
      <c r="AL21" s="252">
        <f>IF(ISNUMBER(STDEV(AL8:AL18)),STDEV(AL8:AL18),"-")</f>
        <v>0</v>
      </c>
      <c r="AM21" s="254">
        <f>IF(ISNUMBER(STDEV(AM8:AM18)),STDEV(AM8:AM18),"-")</f>
        <v>0</v>
      </c>
      <c r="AN21" s="539">
        <f>IF(ISNUMBER(STDEV(AN8:AN18)),STDEV(AN8:AN18),"-")</f>
        <v>0</v>
      </c>
      <c r="AO21" s="540">
        <f>IF(ISNUMBER(STDEV(AO8:AO18)),STDEV(AO8:AO18),"-")</f>
        <v>7.0644716791294799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e/aVDz1pPwSlG/pc/yurbOzenTglecx++2CihTALZlKm8N9xEJbqqdC+ZoCs5na2oRwDDQFT9/j/SqLtv1LuA==" saltValue="AqeaneCap7xb53vSh7Qz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4QH23UGHMr+UUqLnJkOI9nA+W+pTLt/cCk6RMDGntl6uWYeRse03LRZ3jLDRztxsgGSX0R+5uaPJTgEgkT86w==" saltValue="TZIyYV/T1AGllbQBoENp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fW72w7nA87Byojwn8I7AKCEKSPH+/VsizNp2nshp3GwXD6jsESLGGAr4Lb0HIkGVDTMHqhILx57rO+rdixAQ==" saltValue="VuMscamKeio6uEvifBfQ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0.1728395061728395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0.12221598687174895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5DAFYQNY3S45YUVMm5xBNyFAMq/Yy/6kBMAlopzk4/jqkh5CCNO5r+Wzs/UdRaFhe2dw0o+LagS19x2KHcCbA==" saltValue="K36pvxeTnxfz9xu7b44x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G/YapZo7aakdpI5ZKLJA455NmL5G+6EgeveDKIaDunePNyrG/qXF2xRU6sSUNJe4aw6i6e/KwMGgny+XbSm9g==" saltValue="caL7c5+x470BoFQlx5dMS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RONDA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6</v>
      </c>
      <c r="F10" s="404">
        <f>IF(ISNUMBER(E10/B10),E10/B10," - ")</f>
        <v>6</v>
      </c>
      <c r="G10" s="403">
        <f>IF(ISNUMBER(Datos!K10),Datos!K10," - ")</f>
        <v>7</v>
      </c>
      <c r="H10" s="404">
        <f>IF(ISNUMBER(G10/B10),G10/B10," - ")</f>
        <v>7</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2773</v>
      </c>
      <c r="D12" s="404">
        <f>IF(ISNUMBER(C12/Datos!BH12),C12/Datos!BH12," - ")</f>
        <v>924.33333333333337</v>
      </c>
      <c r="E12" s="403">
        <f>IF(ISNUMBER(IF(J_V="SI",Datos!J12,Datos!J12+Datos!Z12)),IF(J_V="SI",Datos!J12,Datos!J12+Datos!Z12)," - ")</f>
        <v>605</v>
      </c>
      <c r="F12" s="404">
        <f>IF(ISNUMBER(E12/B12),E12/B12," - ")</f>
        <v>201.66666666666666</v>
      </c>
      <c r="G12" s="403">
        <f>IF(ISNUMBER(IF(J_V="SI",Datos!K12,Datos!K12+Datos!AA12)),IF(J_V="SI",Datos!K12,Datos!K12+Datos!AA12)," - ")</f>
        <v>479</v>
      </c>
      <c r="H12" s="404">
        <f>IF(ISNUMBER(G12/B12),G12/B12," - ")</f>
        <v>159.66666666666666</v>
      </c>
      <c r="I12" s="403">
        <f>IF(ISNUMBER(IF(J_V="SI",Datos!L12,Datos!L12+Datos!AB12)),IF(J_V="SI",Datos!L12,Datos!L12+Datos!AB12)," - ")</f>
        <v>2899</v>
      </c>
      <c r="J12" s="404">
        <f>IF(ISNUMBER(I12/B12),I12/B12," - ")</f>
        <v>966.33333333333337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2789</v>
      </c>
      <c r="D13" s="850" t="str">
        <f>IF(ISNUMBER(C13/Datos!BI13),C13/Datos!BI13," - ")</f>
        <v xml:space="preserve"> - </v>
      </c>
      <c r="E13" s="849">
        <f>SUBTOTAL(9,E8:E12)</f>
        <v>611</v>
      </c>
      <c r="F13" s="850">
        <f>IF(ISNUMBER(E13/B13),E13/B13," - ")</f>
        <v>203.66666666666666</v>
      </c>
      <c r="G13" s="849">
        <f>SUBTOTAL(9,G8:G12)</f>
        <v>486</v>
      </c>
      <c r="H13" s="850">
        <f>IF(ISNUMBER(G13/B13),G13/B13," - ")</f>
        <v>162</v>
      </c>
      <c r="I13" s="849">
        <f>SUBTOTAL(9,I8:I12)</f>
        <v>2914</v>
      </c>
      <c r="J13" s="850">
        <f>IF(ISNUMBER(I13/B13),I13/B13," - ")</f>
        <v>971.33333333333337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752</v>
      </c>
      <c r="D16" s="404">
        <f>IF(ISNUMBER(C16/Datos!BH16),C16/Datos!BH16," - ")</f>
        <v>250.66666666666666</v>
      </c>
      <c r="E16" s="403">
        <f>IF(ISNUMBER(IF(D_I="SI",Datos!J16,Datos!J16+Datos!AD16)),IF(D_I="SI",Datos!J16,Datos!J16+Datos!AD16)," - ")</f>
        <v>654</v>
      </c>
      <c r="F16" s="404">
        <f>IF(ISNUMBER(E16/B16),E16/B16," - ")</f>
        <v>218</v>
      </c>
      <c r="G16" s="403">
        <f>IF(ISNUMBER(IF(D_I="SI",Datos!K16,Datos!K16+Datos!AE16)),IF(D_I="SI",Datos!K16,Datos!K16+Datos!AE16)," - ")</f>
        <v>579</v>
      </c>
      <c r="H16" s="404">
        <f>IF(ISNUMBER(G16/B16),G16/B16," - ")</f>
        <v>193</v>
      </c>
      <c r="I16" s="403">
        <f>IF(ISNUMBER(IF(D_I="SI",Datos!L16,Datos!L16+Datos!AF16)),IF(D_I="SI",Datos!L16,Datos!L16+Datos!AF16)," - ")</f>
        <v>827</v>
      </c>
      <c r="J16" s="404">
        <f>IF(ISNUMBER(I16/B16),I16/B16," - ")</f>
        <v>275.66666666666669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73</v>
      </c>
      <c r="F17" s="404">
        <f>IF(ISNUMBER(E17/B17),E17/B17," - ")</f>
        <v>73</v>
      </c>
      <c r="G17" s="403">
        <f>IF(ISNUMBER(IF(D_I="SI",Datos!K17,Datos!K17+Datos!AE17)),IF(D_I="SI",Datos!K17,Datos!K17+Datos!AE17)," - ")</f>
        <v>67</v>
      </c>
      <c r="H17" s="404">
        <f>IF(ISNUMBER(G17/B17),G17/B17," - ")</f>
        <v>67</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819</v>
      </c>
      <c r="D18" s="850" t="str">
        <f>IF(ISNUMBER(C18/Datos!BI18),C18/Datos!BI18," - ")</f>
        <v xml:space="preserve"> - </v>
      </c>
      <c r="E18" s="849">
        <f>SUBTOTAL(9,E14:E17)</f>
        <v>727</v>
      </c>
      <c r="F18" s="850">
        <f>IF(ISNUMBER(E18/B18),E18/B18," - ")</f>
        <v>242.33333333333334</v>
      </c>
      <c r="G18" s="849">
        <f>SUBTOTAL(9,G14:G17)</f>
        <v>646</v>
      </c>
      <c r="H18" s="850">
        <f>IF(ISNUMBER(G18/B18),G18/B18," - ")</f>
        <v>215.33333333333334</v>
      </c>
      <c r="I18" s="849">
        <f>SUBTOTAL(9,I14:I17)</f>
        <v>900</v>
      </c>
      <c r="J18" s="850">
        <f>IF(ISNUMBER(I18/B18),I18/B18," - ")</f>
        <v>300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3608</v>
      </c>
      <c r="D19" s="795" t="str">
        <f>IF(ISNUMBER(C19/Datos!BI19),C19/Datos!BI19," - ")</f>
        <v xml:space="preserve"> - </v>
      </c>
      <c r="E19" s="794">
        <f>SUBTOTAL(9,E9:E18)</f>
        <v>1338</v>
      </c>
      <c r="F19" s="795">
        <f>IF(ISNUMBER(E19/B19),E19/B19," - ")</f>
        <v>446</v>
      </c>
      <c r="G19" s="794">
        <f>SUBTOTAL(9,G9:G18)</f>
        <v>1132</v>
      </c>
      <c r="H19" s="795">
        <f>IF(ISNUMBER(G19/B19),G19/B19," - ")</f>
        <v>377.33333333333331</v>
      </c>
      <c r="I19" s="794">
        <f>SUBTOTAL(9,I9:I18)</f>
        <v>3814</v>
      </c>
      <c r="J19" s="795">
        <f>IF(ISNUMBER(I19/B19),I19/B19," - ")</f>
        <v>1271.3333333333333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HHU1b9L/wY4xnoi2Bv/Sbtdu9E2ZWpW48Lt7CRxLM5ikcpnJBFZiuexGy/hdvdi4RNE2VDfvcIZ4Q/afmVmbA==" saltValue="k8DEL2Y7mZACqzitDX4q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RONDA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6.4285714285714279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18.156576200417536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3.5394456289978678E-2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39</v>
      </c>
      <c r="AE13" s="939">
        <f t="shared" si="1"/>
        <v>0</v>
      </c>
      <c r="AF13" s="939">
        <f t="shared" si="1"/>
        <v>15</v>
      </c>
      <c r="AG13" s="939">
        <f t="shared" si="1"/>
        <v>0</v>
      </c>
      <c r="AH13" s="939">
        <f t="shared" si="1"/>
        <v>2428</v>
      </c>
      <c r="AI13" s="939">
        <f t="shared" si="1"/>
        <v>0</v>
      </c>
      <c r="AJ13" s="939">
        <f t="shared" si="1"/>
        <v>0</v>
      </c>
      <c r="AK13" s="939">
        <f t="shared" si="1"/>
        <v>0</v>
      </c>
      <c r="AL13" s="939">
        <f t="shared" si="1"/>
        <v>84</v>
      </c>
      <c r="AM13" s="939">
        <f t="shared" si="1"/>
        <v>175</v>
      </c>
      <c r="AN13" s="939">
        <f t="shared" si="1"/>
        <v>0</v>
      </c>
      <c r="AO13" s="939">
        <f t="shared" si="1"/>
        <v>0</v>
      </c>
      <c r="AP13" s="944">
        <f>IF(ISNUMBER(((Datos!L13/Datos!K13)*11)/factor_trimestre),((Datos!L13/Datos!K13)*11)/factor_trimestre," - ")</f>
        <v>18.88314606741573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-0.4375</v>
      </c>
      <c r="AU13" s="939" t="str">
        <f>IF(ISNUMBER((DatosP!#REF!-DatosP!#REF!+DatosP!#REF!)/(DatosP!#REF!+DatosP!#REF!-DatosP!#REF!-DatosP!#REF!)),(DatosP!#REF!-DatosP!#REF!+DatosP!#REF!)/(DatosP!#REF!+DatosP!#REF!-DatosP!#REF!-DatosP!#REF!)," - ")</f>
        <v xml:space="preserve"> - </v>
      </c>
      <c r="AV13" s="945">
        <f>SUBTOTAL(9,AV9:AV12)</f>
        <v>3.5394456289978678E-2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4.1795665634674926</v>
      </c>
      <c r="AQ18" s="944">
        <f>IF(ISNUMBER(((Datos!M18/Datos!L18)*11)/factor_trimestre),((Datos!M18/Datos!L18)*11)/factor_trimestre," - ")</f>
        <v>0.27999999999999997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-0.11464968152866242</v>
      </c>
      <c r="AW18" s="946">
        <f>IF(ISNUMBER((Datos!Q18-Datos!R18)/(Datos!S18-Datos!Q18+Datos!R18)),(Datos!Q18-Datos!R18)/(Datos!S18-Datos!Q18+Datos!R18)," - ")</f>
        <v>-9.4869312681510165E-2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39</v>
      </c>
      <c r="AE19" s="957">
        <f t="shared" si="5"/>
        <v>0</v>
      </c>
      <c r="AF19" s="958">
        <f t="shared" si="5"/>
        <v>15</v>
      </c>
      <c r="AG19" s="958">
        <f t="shared" si="5"/>
        <v>0</v>
      </c>
      <c r="AH19" s="958">
        <f t="shared" si="5"/>
        <v>2428</v>
      </c>
      <c r="AI19" s="958">
        <f t="shared" si="5"/>
        <v>0</v>
      </c>
      <c r="AJ19" s="959">
        <f t="shared" si="5"/>
        <v>0</v>
      </c>
      <c r="AK19" s="959">
        <f t="shared" si="5"/>
        <v>0</v>
      </c>
      <c r="AL19" s="951">
        <f t="shared" si="5"/>
        <v>84</v>
      </c>
      <c r="AM19" s="951">
        <f t="shared" si="5"/>
        <v>175</v>
      </c>
      <c r="AN19" s="951">
        <f t="shared" si="5"/>
        <v>0</v>
      </c>
      <c r="AO19" s="951">
        <f t="shared" si="5"/>
        <v>0</v>
      </c>
      <c r="AP19" s="951">
        <f>IF(ISNUMBER(((Datos!L19/Datos!K19)*11)/factor_trimestre),((Datos!L19/Datos!K19)*11)/factor_trimestre," - ")</f>
        <v>10.176901924839598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2.597921662669864E-2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45.70193285482209</v>
      </c>
      <c r="AM21" s="736"/>
      <c r="AN21" s="736">
        <f>IF(ISNUMBER(STDEV(AN8:AN18)),STDEV(AN8:AN18),"-")</f>
        <v>0</v>
      </c>
      <c r="AO21" s="742">
        <f>IF(ISNUMBER(STDEV(AO8:AO18)),STDEV(AO8:AO18),"-")</f>
        <v>0</v>
      </c>
      <c r="AP21" s="779">
        <f>IF(ISNUMBER(STDEV(AP8:AP18)),STDEV(AP8:AP18),"-")</f>
        <v>7.6909064303143122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q9Qw55KrE9uOdQS2fBnbLM8pI2jLHHKeQLdAMZdy7UTRqGzdQstYP0z1DI+WZXj6fGuXovDqCTVl/5HCoplMQ==" saltValue="30bvdccyKoqvzGYZgAUf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RONDA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dscIlNt92lixk4UWERnZxwS6s5s9Ea1gWdj1VlFbW8FBwb2X8BfnPS1Rru0ZLD3AJroRxzNIekAeWzzX/8jQA==" saltValue="j4I8QklwCPT9+OU+3bTF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RONDA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79</v>
      </c>
      <c r="E12" s="404">
        <f t="shared" si="0"/>
        <v>26.333333333333332</v>
      </c>
      <c r="F12" s="403">
        <f>IF(ISNUMBER(Datos!N12),Datos!N12," - ")</f>
        <v>175</v>
      </c>
      <c r="G12" s="404">
        <f t="shared" si="1"/>
        <v>58.333333333333336</v>
      </c>
      <c r="H12" s="403">
        <f>IF(ISNUMBER(Datos!O12),Datos!O12," - ")</f>
        <v>258</v>
      </c>
      <c r="I12" s="404">
        <f t="shared" si="2"/>
        <v>86</v>
      </c>
      <c r="BZ12" s="1186">
        <f>Datos!EZ12</f>
        <v>0</v>
      </c>
    </row>
    <row r="13" spans="1:78" ht="14.25" thickTop="1" thickBot="1">
      <c r="A13" s="848" t="str">
        <f>Datos!A13</f>
        <v>TOTAL</v>
      </c>
      <c r="B13" s="849">
        <f>Datos!AP13</f>
        <v>3</v>
      </c>
      <c r="C13" s="851">
        <f>Datos!AR13</f>
        <v>3</v>
      </c>
      <c r="D13" s="849">
        <f>SUBTOTAL(9,D9:D12)</f>
        <v>84</v>
      </c>
      <c r="E13" s="850">
        <f t="shared" si="0"/>
        <v>28</v>
      </c>
      <c r="F13" s="849">
        <f>SUBTOTAL(9,F9:F12)</f>
        <v>175</v>
      </c>
      <c r="G13" s="850">
        <f t="shared" si="1"/>
        <v>58.333333333333336</v>
      </c>
      <c r="H13" s="849">
        <f>SUBTOTAL(9,H9:H12)</f>
        <v>260</v>
      </c>
      <c r="I13" s="850">
        <f>IF(ISNUMBER(H13/B13),H13/B13," - ")</f>
        <v>86.666666666666671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79</v>
      </c>
      <c r="E16" s="404">
        <f t="shared" si="3"/>
        <v>26.333333333333332</v>
      </c>
      <c r="F16" s="403">
        <f>IF(ISNUMBER(Datos!N16),Datos!N16," - ")</f>
        <v>329</v>
      </c>
      <c r="G16" s="404">
        <f t="shared" si="4"/>
        <v>109.66666666666667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84</v>
      </c>
      <c r="E18" s="850">
        <f t="shared" si="3"/>
        <v>28</v>
      </c>
      <c r="F18" s="849">
        <f>SUBTOTAL(9,F15:F17)</f>
        <v>369</v>
      </c>
      <c r="G18" s="850">
        <f t="shared" si="4"/>
        <v>123</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168</v>
      </c>
      <c r="E19" s="795">
        <f>IF(ISNUMBER(D19/B19),D19/B19," - ")</f>
        <v>56</v>
      </c>
      <c r="F19" s="794">
        <f>SUBTOTAL(9,F8:F18)</f>
        <v>544</v>
      </c>
      <c r="G19" s="795">
        <f>IF(ISNUMBER(F19/B19),F19/B19," - ")</f>
        <v>181.33333333333334</v>
      </c>
      <c r="H19" s="794">
        <f>SUBTOTAL(9,H8:H18)</f>
        <v>260</v>
      </c>
      <c r="I19" s="795">
        <f>IF(ISNUMBER(H19/B19),H19/B19," - ")</f>
        <v>86.666666666666671</v>
      </c>
    </row>
    <row r="22" spans="1:78">
      <c r="A22" s="391" t="str">
        <f>Criterios!A4</f>
        <v>Fecha Informe: 27 feb. 2025</v>
      </c>
    </row>
    <row r="27" spans="1:78">
      <c r="A27" s="414"/>
    </row>
  </sheetData>
  <sheetProtection algorithmName="SHA-512" hashValue="HlUNDytwmZd2YVhRWy+NKg1q8jLjNfyuS7DS+XNU7O8uZk/PQZkRo1evEkxx9MhT8jHGgan4TEQz7BVpwcqWvA==" saltValue="8yvO94ltb6WZqDOBQQKh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RONDA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122</v>
      </c>
      <c r="C12" s="434">
        <f>IF(ISNUMBER(Datos!Q12),Datos!Q12," - ")</f>
        <v>39</v>
      </c>
      <c r="D12" s="408">
        <f>IF(ISNUMBER(Datos!R12),Datos!R12," - ")</f>
        <v>2428</v>
      </c>
    </row>
    <row r="13" spans="1:4" ht="14.25" thickTop="1" thickBot="1">
      <c r="A13" s="848" t="str">
        <f>Datos!A13</f>
        <v>TOTAL</v>
      </c>
      <c r="B13" s="849">
        <f>SUBTOTAL(9,B9:B12)</f>
        <v>122</v>
      </c>
      <c r="C13" s="853">
        <f>SUBTOTAL(9,C9:C12)</f>
        <v>39</v>
      </c>
      <c r="D13" s="851">
        <f>SUBTOTAL(9,D9:D12)</f>
        <v>2428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39</v>
      </c>
      <c r="D16" s="408">
        <f>IF(ISNUMBER(Datos!R16),Datos!R16," - ")</f>
        <v>136</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23</v>
      </c>
      <c r="C18" s="853">
        <f>SUBTOTAL(9,C15:C17)</f>
        <v>41</v>
      </c>
      <c r="D18" s="851">
        <f>SUBTOTAL(9,D15:D17)</f>
        <v>139</v>
      </c>
    </row>
    <row r="19" spans="1:4" ht="16.5" customHeight="1" thickTop="1" thickBot="1">
      <c r="A19" s="793" t="str">
        <f>Datos!A19</f>
        <v>TOTAL JURISDICCIONES</v>
      </c>
      <c r="B19" s="798">
        <f>SUBTOTAL(9,B8:B18)</f>
        <v>145</v>
      </c>
      <c r="C19" s="799">
        <f>SUBTOTAL(9,C8:C18)</f>
        <v>80</v>
      </c>
      <c r="D19" s="800">
        <f>SUBTOTAL(9,D8:D18)</f>
        <v>2567</v>
      </c>
    </row>
    <row r="20" spans="1:4" ht="7.5" customHeight="1"/>
    <row r="21" spans="1:4" ht="6" customHeight="1"/>
    <row r="22" spans="1:4">
      <c r="A22" s="391" t="str">
        <f>Criterios!A4</f>
        <v>Fecha Informe: 27 feb. 2025</v>
      </c>
    </row>
    <row r="27" spans="1:4">
      <c r="A27" s="414"/>
    </row>
  </sheetData>
  <sheetProtection algorithmName="SHA-512" hashValue="z78PA1+5jwyvpRHqpn2O8MU5ubijNb/XyIeB4kv2Grp5hgZfnIYxEQcRNvxHxL676/n3wdtHMRj0hJ7FTu+30g==" saltValue="5ElnGzO5zFpG3k0p/o8A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RONDA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2.5</v>
      </c>
      <c r="E10" s="456">
        <f>IF(ISNUMBER((Datos!L10-Datos!V10)/Datos!V10),(Datos!L10-Datos!V10)/Datos!V10," - ")</f>
        <v>0.5</v>
      </c>
      <c r="F10" s="456">
        <f>IF(ISNUMBER((Datos!M10-Datos!W10)/Datos!W10),(Datos!M10-Datos!W10)/Datos!W10," - ")</f>
        <v>4</v>
      </c>
      <c r="G10" s="457">
        <f>IF(ISNUMBER((Datos!N10-Datos!X10)/Datos!X10),(Datos!N10-Datos!X10)/Datos!X10," - ")</f>
        <v>-1</v>
      </c>
      <c r="H10" s="455">
        <f>IF(ISNUMBER(((NºAsuntos!G10/NºAsuntos!E10)-Datos!BD10)/Datos!BD10),((NºAsuntos!G10/NºAsuntos!E10)-Datos!BD10)/Datos!BD10," - ")</f>
        <v>1.3333333333333335</v>
      </c>
      <c r="I10" s="456">
        <f>IF(ISNUMBER(((NºAsuntos!I10/NºAsuntos!G10)-Datos!BE10)/Datos!BE10),((NºAsuntos!I10/NºAsuntos!G10)-Datos!BE10)/Datos!BE10," - ")</f>
        <v>-0.5714285714285714</v>
      </c>
      <c r="J10" s="461">
        <f>IF(ISNUMBER((('Resol  Asuntos'!D10/NºAsuntos!G10)-Datos!BF10)/Datos!BF10),(('Resol  Asuntos'!D10/NºAsuntos!G10)-Datos!BF10)/Datos!BF10," - ")</f>
        <v>0.4285714285714286</v>
      </c>
      <c r="K10" s="462">
        <f>IF(ISNUMBER((((NºAsuntos!C10+NºAsuntos!E10)/NºAsuntos!G10)-Datos!BG10)/Datos!BG10),(((NºAsuntos!C10+NºAsuntos!E10)/NºAsuntos!G10)-Datos!BG10)/Datos!BG10," - ")</f>
        <v>-0.47619047619047622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0.18961818961818963</v>
      </c>
      <c r="C12" s="456">
        <f>IF(ISNUMBER(
   IF(J_V="SI",(Datos!J12-Datos!T12)/Datos!T12,(Datos!J12+Datos!Z12-(Datos!T12+Datos!AH12))/(Datos!T12+Datos!AH12))
     ),IF(J_V="SI",(Datos!J12-Datos!T12)/Datos!T12,(Datos!J12+Datos!Z12-(Datos!T12+Datos!AH12))/(Datos!T12+Datos!AH12))," - ")</f>
        <v>4.4905008635578586E-2</v>
      </c>
      <c r="D12" s="456">
        <f>IF(ISNUMBER(
   IF(J_V="SI",(Datos!K12-Datos!U12)/Datos!U12,(Datos!K12+Datos!AA12-(Datos!U12+Datos!AI12))/(Datos!U12+Datos!AI12))
     ),IF(J_V="SI",(Datos!K12-Datos!U12)/Datos!U12,(Datos!K12+Datos!AA12-(Datos!U12+Datos!AI12))/(Datos!U12+Datos!AI12))," - ")</f>
        <v>-5.1485148514851482E-2</v>
      </c>
      <c r="E12" s="456">
        <f>IF(ISNUMBER(
   IF(J_V="SI",(Datos!L12-Datos!V12)/Datos!V12,(Datos!L12+Datos!AB12-(Datos!V12+Datos!AJ12))/(Datos!V12+Datos!AJ12))
     ),IF(J_V="SI",(Datos!L12-Datos!V12)/Datos!V12,(Datos!L12+Datos!AB12-(Datos!V12+Datos!AJ12))/(Datos!V12+Datos!AJ12))," - ")</f>
        <v>0.20540540540540542</v>
      </c>
      <c r="F12" s="456">
        <f>IF(ISNUMBER((Datos!M12-Datos!W12)/Datos!W12),(Datos!M12-Datos!W12)/Datos!W12," - ")</f>
        <v>-0.36799999999999999</v>
      </c>
      <c r="G12" s="457">
        <f>IF(ISNUMBER((Datos!N12-Datos!X12)/Datos!X12),(Datos!N12-Datos!X12)/Datos!X12," - ")</f>
        <v>-0.22222222222222221</v>
      </c>
      <c r="H12" s="455">
        <f>IF(ISNUMBER(((NºAsuntos!G12/NºAsuntos!E12)-Datos!BD12)/Datos!BD12),((NºAsuntos!G12/NºAsuntos!E12)-Datos!BD12)/Datos!BD12," - ")</f>
        <v>-9.2247770231568604E-2</v>
      </c>
      <c r="I12" s="456">
        <f>IF(ISNUMBER(((NºAsuntos!I12/NºAsuntos!G12)-Datos!BE12)/Datos!BE12),((NºAsuntos!I12/NºAsuntos!G12)-Datos!BE12)/Datos!BE12," - ")</f>
        <v>0.27083450883033344</v>
      </c>
      <c r="J12" s="461">
        <f>IF(ISNUMBER((('Resol  Asuntos'!D12/NºAsuntos!G12)-Datos!BF12)/Datos!BF12),(('Resol  Asuntos'!D12/NºAsuntos!G12)-Datos!BF12)/Datos!BF12," - ")</f>
        <v>-0.62983066573880775</v>
      </c>
      <c r="K12" s="462">
        <f>IF(ISNUMBER((((NºAsuntos!C12+NºAsuntos!E12)/NºAsuntos!G12)-Datos!BG12)/Datos!BG12),(((NºAsuntos!C12+NºAsuntos!E12)/NºAsuntos!G12)-Datos!BG12)/Datos!BG12," - ")</f>
        <v>0.22383401846630649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0.19238991021804189</v>
      </c>
      <c r="C13" s="855">
        <f>IF(ISNUMBER(
   IF(J_V="SI",(Datos!J13-Datos!T13)/Datos!T13,(Datos!J13+Datos!Z13-(Datos!T13+Datos!AH13))/(Datos!T13+Datos!AH13))
     ),IF(J_V="SI",(Datos!J13-Datos!T13)/Datos!T13,(Datos!J13+Datos!Z13-(Datos!T13+Datos!AH13))/(Datos!T13+Datos!AH13))," - ")</f>
        <v>4.8027444253859346E-2</v>
      </c>
      <c r="D13" s="855">
        <f>IF(ISNUMBER(
   IF(J_V="SI",(Datos!K13-Datos!U13)/Datos!U13,(Datos!K13+Datos!AA13-(Datos!U13+Datos!AI13))/(Datos!U13+Datos!AI13))
     ),IF(J_V="SI",(Datos!K13-Datos!U13)/Datos!U13,(Datos!K13+Datos!AA13-(Datos!U13+Datos!AI13))/(Datos!U13+Datos!AI13))," - ")</f>
        <v>-4.142011834319527E-2</v>
      </c>
      <c r="E13" s="855">
        <f>IF(ISNUMBER(
   IF(J_V="SI",(Datos!L13-Datos!V13)/Datos!V13,(Datos!L13+Datos!AB13-(Datos!V13+Datos!AJ13))/(Datos!V13+Datos!AJ13))
     ),IF(J_V="SI",(Datos!L13-Datos!V13)/Datos!V13,(Datos!L13+Datos!AB13-(Datos!V13+Datos!AJ13))/(Datos!V13+Datos!AJ13))," - ")</f>
        <v>0.20662525879917185</v>
      </c>
      <c r="F13" s="856">
        <f>IF(ISNUMBER((Datos!M13-Datos!W13)/Datos!W13),(Datos!M13-Datos!W13)/Datos!W13," - ")</f>
        <v>-0.33333333333333331</v>
      </c>
      <c r="G13" s="857">
        <f>IF(ISNUMBER((Datos!N13-Datos!X13)/Datos!X13),(Datos!N13-Datos!X13)/Datos!X13," - ")</f>
        <v>-0.22566371681415928</v>
      </c>
      <c r="H13" s="857">
        <f>IF(ISNUMBER(((NºAsuntos!G13/NºAsuntos!E13)-Datos!BD13)/Datos!BD13),((NºAsuntos!G13/NºAsuntos!E13)-Datos!BD13)/Datos!BD13," - ")</f>
        <v>-8.5348492625340139E-2</v>
      </c>
      <c r="I13" s="857">
        <f>IF(ISNUMBER(((NºAsuntos!I13/NºAsuntos!G13)-Datos!BE13)/Datos!BE13),((NºAsuntos!I13/NºAsuntos!G13)-Datos!BE13)/Datos!BE13," - ")</f>
        <v>0.25876338726580272</v>
      </c>
      <c r="J13" s="857">
        <f>IF(ISNUMBER((('Resol  Asuntos'!D13/NºAsuntos!G13)-Datos!BF13)/Datos!BF13),(('Resol  Asuntos'!D13/NºAsuntos!G13)-Datos!BF13)/Datos!BF13," - ")</f>
        <v>-0.61225827597509019</v>
      </c>
      <c r="K13" s="857">
        <f>IF(ISNUMBER((((NºAsuntos!C13+NºAsuntos!E13)/NºAsuntos!G13)-Datos!BG13)/Datos!BG13),(((NºAsuntos!C13+NºAsuntos!E13)/NºAsuntos!G13)-Datos!BG13)/Datos!BG13," - ")</f>
        <v>0.21386501719606901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-0.1616499442586399</v>
      </c>
      <c r="C16" s="456">
        <f>IF(ISNUMBER(
   IF(D_I="SI",(Datos!J16-Datos!T16)/Datos!T16,(Datos!J16+Datos!AD16-(Datos!T16+Datos!AL16))/(Datos!T16+Datos!AL16))
     ),IF(D_I="SI",(Datos!J16-Datos!T16)/Datos!T16,(Datos!J16+Datos!AD16-(Datos!T16+Datos!AL16))/(Datos!T16+Datos!AL16))," - ")</f>
        <v>-0.18555417185554171</v>
      </c>
      <c r="D16" s="456">
        <f>IF(ISNUMBER(
   IF(D_I="SI",(Datos!K16-Datos!U16)/Datos!U16,(Datos!K16+Datos!AE16-(Datos!U16+Datos!AM16))/(Datos!U16+Datos!AM16))
     ),IF(D_I="SI",(Datos!K16-Datos!U16)/Datos!U16,(Datos!K16+Datos!AE16-(Datos!U16+Datos!AM16))/(Datos!U16+Datos!AM16))," - ")</f>
        <v>-0.33524684270952926</v>
      </c>
      <c r="E16" s="456">
        <f>IF(ISNUMBER(
   IF(D_I="SI",(Datos!L16-Datos!V16)/Datos!V16,(Datos!L16+Datos!AF16-(Datos!V16+Datos!AN16))/(Datos!V16+Datos!AN16))
     ),IF(D_I="SI",(Datos!L16-Datos!V16)/Datos!V16,(Datos!L16+Datos!AF16-(Datos!V16+Datos!AN16))/(Datos!V16+Datos!AN16))," - ")</f>
        <v>-2.4125452352231603E-3</v>
      </c>
      <c r="F16" s="456">
        <f>IF(ISNUMBER((Datos!M16-Datos!W16)/Datos!W16),(Datos!M16-Datos!W16)/Datos!W16," - ")</f>
        <v>-0.3828125</v>
      </c>
      <c r="G16" s="457">
        <f>IF(ISNUMBER((Datos!N16-Datos!X16)/Datos!X16),(Datos!N16-Datos!X16)/Datos!X16," - ")</f>
        <v>-0.2955032119914347</v>
      </c>
      <c r="H16" s="455">
        <f>IF(ISNUMBER(((NºAsuntos!G16/NºAsuntos!E16)-Datos!BD16)/Datos!BD16),((NºAsuntos!G16/NºAsuntos!E16)-Datos!BD16)/Datos!BD16," - ")</f>
        <v>-0.18379696436659318</v>
      </c>
      <c r="I16" s="456">
        <f>IF(ISNUMBER(((NºAsuntos!I16/NºAsuntos!G16)-Datos!BE16)/Datos!BE16),((NºAsuntos!I16/NºAsuntos!G16)-Datos!BE16)/Datos!BE16," - ")</f>
        <v>0.50068855457706485</v>
      </c>
      <c r="J16" s="461">
        <f>IF(ISNUMBER((('Resol  Asuntos'!D16/NºAsuntos!G16)-Datos!BF16)/Datos!BF16),(('Resol  Asuntos'!D16/NºAsuntos!G16)-Datos!BF16)/Datos!BF16," - ")</f>
        <v>-7.155386442141623E-2</v>
      </c>
      <c r="K16" s="462">
        <f>IF(ISNUMBER((((NºAsuntos!C16+NºAsuntos!E16)/NºAsuntos!G16)-Datos!BG16)/Datos!BG16),(((NºAsuntos!C16+NºAsuntos!E16)/NºAsuntos!G16)-Datos!BG16)/Datos!BG16," - ")</f>
        <v>0.24415930102610983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0.76315789473684215</v>
      </c>
      <c r="C17" s="456">
        <f>IF(ISNUMBER(
   IF(D_I="SI",(Datos!J17-Datos!T17)/Datos!T17,(Datos!J17+Datos!AD17-(Datos!T17+Datos!AL17))/(Datos!T17+Datos!AL17))
     ),IF(D_I="SI",(Datos!J17-Datos!T17)/Datos!T17,(Datos!J17+Datos!AD17-(Datos!T17+Datos!AL17))/(Datos!T17+Datos!AL17))," - ")</f>
        <v>0.73809523809523814</v>
      </c>
      <c r="D17" s="456">
        <f>IF(ISNUMBER(
   IF(D_I="SI",(Datos!K17-Datos!U17)/Datos!U17,(Datos!K17+Datos!AE17-(Datos!U17+Datos!AM17))/(Datos!U17+Datos!AM17))
     ),IF(D_I="SI",(Datos!K17-Datos!U17)/Datos!U17,(Datos!K17+Datos!AE17-(Datos!U17+Datos!AM17))/(Datos!U17+Datos!AM17))," - ")</f>
        <v>0.55813953488372092</v>
      </c>
      <c r="E17" s="456">
        <f>IF(ISNUMBER(
   IF(D_I="SI",(Datos!L17-Datos!V17)/Datos!V17,(Datos!L17+Datos!AF17-(Datos!V17+Datos!AN17))/(Datos!V17+Datos!AN17))
     ),IF(D_I="SI",(Datos!L17-Datos!V17)/Datos!V17,(Datos!L17+Datos!AF17-(Datos!V17+Datos!AN17))/(Datos!V17+Datos!AN17))," - ")</f>
        <v>0.97297297297297303</v>
      </c>
      <c r="F17" s="456">
        <f>IF(ISNUMBER((Datos!M17-Datos!W17)/Datos!W17),(Datos!M17-Datos!W17)/Datos!W17," - ")</f>
        <v>0.25</v>
      </c>
      <c r="G17" s="457">
        <f>IF(ISNUMBER((Datos!N17-Datos!X17)/Datos!X17),(Datos!N17-Datos!X17)/Datos!X17," - ")</f>
        <v>0.37931034482758619</v>
      </c>
      <c r="H17" s="455">
        <f>IF(ISNUMBER(((NºAsuntos!G17/NºAsuntos!E17)-Datos!BD17)/Datos!BD17),((NºAsuntos!G17/NºAsuntos!E17)-Datos!BD17)/Datos!BD17," - ")</f>
        <v>-0.10353615801210569</v>
      </c>
      <c r="I17" s="456">
        <f>IF(ISNUMBER(((NºAsuntos!I17/NºAsuntos!G17)-Datos!BE17)/Datos!BE17),((NºAsuntos!I17/NºAsuntos!G17)-Datos!BE17)/Datos!BE17," - ")</f>
        <v>0.2662363856393708</v>
      </c>
      <c r="J17" s="461">
        <f>IF(ISNUMBER((('Resol  Asuntos'!D17/NºAsuntos!G17)-Datos!BF17)/Datos!BF17),(('Resol  Asuntos'!D17/NºAsuntos!G17)-Datos!BF17)/Datos!BF17," - ")</f>
        <v>-0.19776119402985082</v>
      </c>
      <c r="K17" s="462">
        <f>IF(ISNUMBER((((NºAsuntos!C17+NºAsuntos!E17)/NºAsuntos!G17)-Datos!BG17)/Datos!BG17),(((NºAsuntos!C17+NºAsuntos!E17)/NºAsuntos!G17)-Datos!BG17)/Datos!BG17," - ")</f>
        <v>0.12313432835820887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-0.12406417112299466</v>
      </c>
      <c r="C18" s="855">
        <f>IF(ISNUMBER(
   IF(Criterios!B14="SI",(Datos!J18-Datos!T18)/Datos!T18,(Datos!J18+Datos!AD18-(Datos!T18+Datos!AL18))/(Datos!T18+Datos!AL18))
     ),IF(Criterios!B14="SI",(Datos!J18-Datos!T18)/Datos!T18,(Datos!J18+Datos!AD18-(Datos!T18+Datos!AL18))/(Datos!T18+Datos!AL18))," - ")</f>
        <v>-0.13964497041420118</v>
      </c>
      <c r="D18" s="855">
        <f>IF(ISNUMBER(
   IF(Criterios!B14="SI",(Datos!K18-Datos!U18)/Datos!U18,(Datos!K18+Datos!AE18-(Datos!U18+Datos!AM18))/(Datos!U18+Datos!AM18))
     ),IF(Criterios!B14="SI",(Datos!K18-Datos!U18)/Datos!U18,(Datos!K18+Datos!AE18-(Datos!U18+Datos!AM18))/(Datos!U18+Datos!AM18))," - ")</f>
        <v>-0.29321663019693656</v>
      </c>
      <c r="E18" s="855">
        <f>IF(ISNUMBER(
   IF(Criterios!B14="SI",(Datos!L18-Datos!V18)/Datos!V18,(Datos!L18+Datos!AF18-(Datos!V18+Datos!AN18))/(Datos!V18+Datos!AN18))
     ),IF(Criterios!B14="SI",(Datos!L18-Datos!V18)/Datos!V18,(Datos!L18+Datos!AF18-(Datos!V18+Datos!AN18))/(Datos!V18+Datos!AN18))," - ")</f>
        <v>3.9260969976905313E-2</v>
      </c>
      <c r="F18" s="856">
        <f>IF(ISNUMBER((Datos!M18-Datos!W18)/Datos!W18),(Datos!M18-Datos!W18)/Datos!W18," - ")</f>
        <v>-0.36363636363636365</v>
      </c>
      <c r="G18" s="857">
        <f>IF(ISNUMBER((Datos!N18-Datos!X18)/Datos!X18),(Datos!N18-Datos!X18)/Datos!X18," - ")</f>
        <v>-0.25604838709677419</v>
      </c>
      <c r="H18" s="857">
        <f>IF(ISNUMBER(((NºAsuntos!G18/NºAsuntos!E18)-Datos!BD18)/Datos!BD18),((NºAsuntos!G18/NºAsuntos!E18)-Datos!BD18)/Datos!BD18," - ")</f>
        <v>-0.17849800896342691</v>
      </c>
      <c r="I18" s="857">
        <f>IF(ISNUMBER(((NºAsuntos!I18/NºAsuntos!G18)-Datos!BE18)/Datos!BE18),((NºAsuntos!I18/NºAsuntos!G18)-Datos!BE18)/Datos!BE18," - ")</f>
        <v>0.47040948383729336</v>
      </c>
      <c r="J18" s="857">
        <f>IF(ISNUMBER((('Resol  Asuntos'!D18/NºAsuntos!G18)-Datos!BF18)/Datos!BF18),(('Resol  Asuntos'!D18/NºAsuntos!G18)-Datos!BF18)/Datos!BF18," - ")</f>
        <v>-9.9634112018013005E-2</v>
      </c>
      <c r="K18" s="857">
        <f>IF(ISNUMBER((((NºAsuntos!C18+NºAsuntos!E18)/NºAsuntos!G18)-Datos!BG18)/Datos!BG18),(((NºAsuntos!C18+NºAsuntos!E18)/NºAsuntos!G18)-Datos!BG18)/Datos!BG18," - ")</f>
        <v>0.22886214213657088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0.10201588271227856</v>
      </c>
      <c r="C19" s="802">
        <f>IF(ISNUMBER(
   IF(J_V="SI",(Datos!J19-Datos!T19)/Datos!T19,(Datos!J19+Datos!Z19-(Datos!T19+Datos!AH19))/(Datos!T19+Datos!AH19))
     ),IF(J_V="SI",(Datos!J19-Datos!T19)/Datos!T19,(Datos!J19+Datos!Z19-(Datos!T19+Datos!AH19))/(Datos!T19+Datos!AH19))," - ")</f>
        <v>-6.3025210084033612E-2</v>
      </c>
      <c r="D19" s="802">
        <f>IF(ISNUMBER(
   IF(J_V="SI",(Datos!K19-Datos!U19)/Datos!U19,(Datos!K19+Datos!AA19-(Datos!U19+Datos!AI19))/(Datos!U19+Datos!AI19))
     ),IF(J_V="SI",(Datos!K19-Datos!U19)/Datos!U19,(Datos!K19+Datos!AA19-(Datos!U19+Datos!AI19))/(Datos!U19+Datos!AI19))," - ")</f>
        <v>-0.20337790288529206</v>
      </c>
      <c r="E19" s="802">
        <f>IF(ISNUMBER(
   IF(J_V="SI",(Datos!L19-Datos!V19)/Datos!V19,(Datos!L19+Datos!AB19-(Datos!V19+Datos!AJ19))/(Datos!V19+Datos!AJ19))
     ),IF(J_V="SI",(Datos!L19-Datos!V19)/Datos!V19,(Datos!L19+Datos!AB19-(Datos!V19+Datos!AJ19))/(Datos!V19+Datos!AJ19))," - ")</f>
        <v>0.16245047241694605</v>
      </c>
      <c r="F19" s="803">
        <f>IF(ISNUMBER((Datos!M19-Datos!W19)/Datos!W19),(Datos!M19-Datos!W19)/Datos!W19," - ")</f>
        <v>-0.34883720930232559</v>
      </c>
      <c r="G19" s="804">
        <f>IF(ISNUMBER((Datos!N19-Datos!X19)/Datos!X19),(Datos!N19-Datos!X19)/Datos!X19," - ")</f>
        <v>-0.24653739612188366</v>
      </c>
      <c r="H19" s="805">
        <f>IF(ISNUMBER((Tasas!B19-Datos!BD19)/Datos!BD19),(Tasas!B19-Datos!BD19)/Datos!BD19," - ")</f>
        <v>-0.14979345689102916</v>
      </c>
      <c r="I19" s="806">
        <f>IF(ISNUMBER((Tasas!C19-Datos!BE19)/Datos!BE19),(Tasas!C19-Datos!BE19)/Datos!BE19," - ")</f>
        <v>0.45922448878487671</v>
      </c>
      <c r="J19" s="807">
        <f>IF(ISNUMBER((Tasas!D19-Datos!BF19)/Datos!BF19),(Tasas!D19-Datos!BF19)/Datos!BF19," - ")</f>
        <v>-0.41092050456995088</v>
      </c>
      <c r="K19" s="807">
        <f>IF(ISNUMBER((Tasas!E19-Datos!BG19)/Datos!BG19),(Tasas!E19-Datos!BG19)/Datos!BG19," - ")</f>
        <v>0.32044141805682269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uKuug2boR/gcmXH66gBQQJzEWmbVkMcqB1RycxeLlj87Ebok5ID4gTyosZBwkfLcqIDbtG8TnDgsw6pDm89xw==" saltValue="Vcz5s77pN19qvZJuOSSa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RONDA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1.1666666666666667</v>
      </c>
      <c r="C10" s="443">
        <f>IF(ISNUMBER(NºAsuntos!I10/NºAsuntos!G10),NºAsuntos!I10/NºAsuntos!G10," - ")</f>
        <v>2.1428571428571428</v>
      </c>
      <c r="D10" s="444">
        <f>IF(ISNUMBER('Resol  Asuntos'!D10/NºAsuntos!G10),'Resol  Asuntos'!D10/NºAsuntos!G10," - ")</f>
        <v>0.7142857142857143</v>
      </c>
      <c r="E10" s="445">
        <f>IF(ISNUMBER((NºAsuntos!C10+NºAsuntos!E10)/NºAsuntos!G10),(NºAsuntos!C10+NºAsuntos!E10)/NºAsuntos!G10," - ")</f>
        <v>3.1428571428571428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0.79173553719008261</v>
      </c>
      <c r="C12" s="443">
        <f>IF(ISNUMBER(NºAsuntos!I12/NºAsuntos!G12),NºAsuntos!I12/NºAsuntos!G12," - ")</f>
        <v>6.0521920668058451</v>
      </c>
      <c r="D12" s="444">
        <f>IF(ISNUMBER('Resol  Asuntos'!D12/NºAsuntos!G12),'Resol  Asuntos'!D12/NºAsuntos!G12," - ")</f>
        <v>0.1649269311064718</v>
      </c>
      <c r="E12" s="445">
        <f>IF(ISNUMBER((NºAsuntos!C12+NºAsuntos!E12)/NºAsuntos!G12),(NºAsuntos!C12+NºAsuntos!E12)/NºAsuntos!G12," - ")</f>
        <v>7.0521920668058451</v>
      </c>
      <c r="G12" s="463"/>
    </row>
    <row r="13" spans="1:7" ht="14.25" thickTop="1" thickBot="1">
      <c r="A13" s="848" t="str">
        <f>Datos!A13</f>
        <v>TOTAL</v>
      </c>
      <c r="B13" s="858">
        <f>IF(ISNUMBER(NºAsuntos!G13/NºAsuntos!E13),NºAsuntos!G13/NºAsuntos!E13," - ")</f>
        <v>0.79541734860883795</v>
      </c>
      <c r="C13" s="859">
        <f>IF(ISNUMBER(NºAsuntos!I13/NºAsuntos!G13),NºAsuntos!I13/NºAsuntos!G13," - ")</f>
        <v>5.9958847736625511</v>
      </c>
      <c r="D13" s="860">
        <f>IF(ISNUMBER('Resol  Asuntos'!D13/NºAsuntos!G13),'Resol  Asuntos'!D13/NºAsuntos!G13," - ")</f>
        <v>0.1728395061728395</v>
      </c>
      <c r="E13" s="861">
        <f>IF(ISNUMBER((NºAsuntos!C13+NºAsuntos!E13)/NºAsuntos!G13),(NºAsuntos!C13+NºAsuntos!E13)/NºAsuntos!G13," - ")</f>
        <v>6.9958847736625511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0.88532110091743121</v>
      </c>
      <c r="C16" s="443">
        <f>IF(ISNUMBER(NºAsuntos!I16/NºAsuntos!G16),NºAsuntos!I16/NºAsuntos!G16," - ")</f>
        <v>1.4283246977547495</v>
      </c>
      <c r="D16" s="444">
        <f>IF(ISNUMBER('Resol  Asuntos'!D16/NºAsuntos!G16),'Resol  Asuntos'!D16/NºAsuntos!G16," - ")</f>
        <v>0.13644214162348878</v>
      </c>
      <c r="E16" s="445">
        <f>IF(ISNUMBER((NºAsuntos!C16+NºAsuntos!E16)/NºAsuntos!G16),(NºAsuntos!C16+NºAsuntos!E16)/NºAsuntos!G16," - ")</f>
        <v>2.4283246977547495</v>
      </c>
      <c r="G16" s="463"/>
    </row>
    <row r="17" spans="1:7" ht="13.5" thickBot="1">
      <c r="A17" s="402" t="str">
        <f>Datos!A17</f>
        <v>Jdos. Violencia contra la mujer</v>
      </c>
      <c r="B17" s="442">
        <f>IF(ISNUMBER(NºAsuntos!G17/NºAsuntos!E17),NºAsuntos!G17/NºAsuntos!E17," - ")</f>
        <v>0.9178082191780822</v>
      </c>
      <c r="C17" s="443">
        <f>IF(ISNUMBER(NºAsuntos!I17/NºAsuntos!G17),NºAsuntos!I17/NºAsuntos!G17," - ")</f>
        <v>1.0895522388059702</v>
      </c>
      <c r="D17" s="444">
        <f>IF(ISNUMBER('Resol  Asuntos'!D17/NºAsuntos!G17),'Resol  Asuntos'!D17/NºAsuntos!G17," - ")</f>
        <v>7.4626865671641784E-2</v>
      </c>
      <c r="E17" s="445">
        <f>IF(ISNUMBER((NºAsuntos!C17+NºAsuntos!E17)/NºAsuntos!G17),(NºAsuntos!C17+NºAsuntos!E17)/NºAsuntos!G17," - ")</f>
        <v>2.08955223880597</v>
      </c>
      <c r="G17" s="463"/>
    </row>
    <row r="18" spans="1:7" ht="14.25" thickTop="1" thickBot="1">
      <c r="A18" s="848" t="str">
        <f>Datos!A18</f>
        <v>TOTAL</v>
      </c>
      <c r="B18" s="858">
        <f>IF(ISNUMBER(NºAsuntos!G18/NºAsuntos!E18),NºAsuntos!G18/NºAsuntos!E18," - ")</f>
        <v>0.88858321870701518</v>
      </c>
      <c r="C18" s="859">
        <f>IF(ISNUMBER(NºAsuntos!I18/NºAsuntos!G18),NºAsuntos!I18/NºAsuntos!G18," - ")</f>
        <v>1.3931888544891642</v>
      </c>
      <c r="D18" s="862">
        <f>IF(ISNUMBER('Resol  Asuntos'!D18/NºAsuntos!G18),'Resol  Asuntos'!D18/NºAsuntos!G18," - ")</f>
        <v>0.13003095975232198</v>
      </c>
      <c r="E18" s="861">
        <f>IF(ISNUMBER((NºAsuntos!C18+NºAsuntos!E18)/NºAsuntos!G18),(NºAsuntos!C18+NºAsuntos!E18)/NºAsuntos!G18," - ")</f>
        <v>2.3931888544891642</v>
      </c>
      <c r="G18" s="463"/>
    </row>
    <row r="19" spans="1:7" ht="15.75" customHeight="1" thickTop="1" thickBot="1">
      <c r="A19" s="793" t="str">
        <f>Datos!A19</f>
        <v>TOTAL JURISDICCIONES</v>
      </c>
      <c r="B19" s="808">
        <f>IF(ISNUMBER(NºAsuntos!G19/NºAsuntos!E19),NºAsuntos!G19/NºAsuntos!E19," - ")</f>
        <v>0.84603886397608374</v>
      </c>
      <c r="C19" s="809">
        <f>IF(ISNUMBER(NºAsuntos!I19/NºAsuntos!G19),NºAsuntos!I19/NºAsuntos!G19," - ")</f>
        <v>3.3692579505300353</v>
      </c>
      <c r="D19" s="810">
        <f>IF(ISNUMBER('Resol  Asuntos'!D19/NºAsuntos!G19),'Resol  Asuntos'!D19/NºAsuntos!G19," - ")</f>
        <v>0.14840989399293286</v>
      </c>
      <c r="E19" s="811">
        <f>IF(ISNUMBER((NºAsuntos!C19+NºAsuntos!E19)/NºAsuntos!G19),(NºAsuntos!C19+NºAsuntos!E19)/NºAsuntos!G19," - ")</f>
        <v>4.3692579505300353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O/Izz4eqbd5veH1plCwJojZYHw5nkNwHjDKZgwd1tS3dnj+i9vdMWx8DxVCSnfah7+9t4XCJmwILISbghWJpw==" saltValue="uMpadkXwj68SyHuhx/aq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RONDA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15</v>
      </c>
      <c r="AB10" s="334">
        <f>IF(ISNUMBER(Datos!R10),Datos!R10," - ")</f>
        <v>0</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1.1666666666666667</v>
      </c>
      <c r="AM10" s="260">
        <f>IF(ISNUMBER(((NºAsuntos!I10/NºAsuntos!G10)*11)/factor_trimestre),((NºAsuntos!I10/NºAsuntos!G10)*11)/factor_trimestre," - ")</f>
        <v>6.4285714285714279</v>
      </c>
      <c r="AN10" s="244">
        <f>IF(ISNUMBER('Resol  Asuntos'!D10/NºAsuntos!G10),'Resol  Asuntos'!D10/NºAsuntos!G10," - ")</f>
        <v>0.7142857142857143</v>
      </c>
      <c r="AO10" s="245">
        <f>IF(ISNUMBER((NºAsuntos!C10+NºAsuntos!E10)/NºAsuntos!G10),(NºAsuntos!C10+NºAsuntos!E10)/NºAsuntos!G10," - ")</f>
        <v>3.1428571428571428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0.79173553719008261</v>
      </c>
      <c r="AM12" s="260">
        <f>IF(ISNUMBER(((NºAsuntos!I12/NºAsuntos!G12)*11)/factor_trimestre),((NºAsuntos!I12/NºAsuntos!G12)*11)/factor_trimestre," - ")</f>
        <v>18.156576200417536</v>
      </c>
      <c r="AN12" s="244">
        <f>IF(ISNUMBER('Resol  Asuntos'!D12/NºAsuntos!G12),'Resol  Asuntos'!D12/NºAsuntos!G12," - ")</f>
        <v>0.1649269311064718</v>
      </c>
      <c r="AO12" s="245">
        <f>IF(ISNUMBER((NºAsuntos!C12+NºAsuntos!E12)/NºAsuntos!G12),(NºAsuntos!C12+NºAsuntos!E12)/NºAsuntos!G12," - ")</f>
        <v>7.0521920668058451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39</v>
      </c>
      <c r="Y13" s="868">
        <f t="shared" si="4"/>
        <v>46</v>
      </c>
      <c r="Z13" s="868">
        <f t="shared" si="4"/>
        <v>0</v>
      </c>
      <c r="AA13" s="868">
        <f t="shared" si="4"/>
        <v>15</v>
      </c>
      <c r="AB13" s="868">
        <f t="shared" si="4"/>
        <v>2428</v>
      </c>
      <c r="AC13" s="868">
        <f t="shared" si="4"/>
        <v>15</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0.79541734860883795</v>
      </c>
      <c r="AM13" s="874">
        <f>IF(ISNUMBER(((NºAsuntos!I13/NºAsuntos!G13)*11)/factor_trimestre),((NºAsuntos!I13/NºAsuntos!G13)*11)/factor_trimestre," - ")</f>
        <v>17.987654320987655</v>
      </c>
      <c r="AN13" s="875">
        <f>IF(ISNUMBER('Resol  Asuntos'!D13/NºAsuntos!G13),'Resol  Asuntos'!D13/NºAsuntos!G13," - ")</f>
        <v>0.1728395061728395</v>
      </c>
      <c r="AO13" s="876">
        <f>IF(ISNUMBER((NºAsuntos!C13+NºAsuntos!E13)/NºAsuntos!G13),(NºAsuntos!C13+NºAsuntos!E13)/NºAsuntos!G13," - ")</f>
        <v>6.9958847736625511</v>
      </c>
      <c r="AP13" s="877" t="str">
        <f t="shared" si="2"/>
        <v xml:space="preserve"> - </v>
      </c>
      <c r="AQ13" s="877">
        <f>IF(ISNUMBER((H13-W13+K13)/(F13)),(H13-W13+K13)/(F13)," - ")</f>
        <v>-0.4375</v>
      </c>
      <c r="AR13" s="878">
        <f>IF(ISNUMBER((Datos!P13-Datos!Q13)/(Datos!R13-Datos!P13+Datos!Q13)),(Datos!P13-Datos!Q13)/(Datos!R13-Datos!P13+Datos!Q13)," - ")</f>
        <v>3.5394456289978678E-2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752</v>
      </c>
      <c r="G16" s="333">
        <f>IF(ISNUMBER(IF(D_I="SI",Datos!I16,Datos!I16+Datos!AC16)),IF(D_I="SI",Datos!I16,Datos!I16+Datos!AC16)," - ")</f>
        <v>752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579</v>
      </c>
      <c r="X16" s="226">
        <f>IF(ISNUMBER(Datos!Q16),Datos!Q16," - ")</f>
        <v>39</v>
      </c>
      <c r="Y16" s="334">
        <f t="shared" ref="Y16:Y17" si="7">SUM(W16:X16)</f>
        <v>618</v>
      </c>
      <c r="Z16" s="335" t="str">
        <f>IF(ISNUMBER(Datos!CC16),Datos!CC16," - ")</f>
        <v xml:space="preserve"> - </v>
      </c>
      <c r="AA16" s="332">
        <f>IF(ISNUMBER(IF(D_I="SI",Datos!L16,Datos!L16+Datos!AF16)),IF(D_I="SI",Datos!L16,Datos!L16+Datos!AF16)," - ")</f>
        <v>827</v>
      </c>
      <c r="AB16" s="334">
        <f>IF(ISNUMBER(Datos!R16),Datos!R16," - ")</f>
        <v>136</v>
      </c>
      <c r="AC16" s="334">
        <f t="shared" si="6"/>
        <v>963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0.88532110091743121</v>
      </c>
      <c r="AM16" s="260">
        <f>IF(ISNUMBER(((NºAsuntos!I16/NºAsuntos!G16)*11)/factor_trimestre),((NºAsuntos!I16/NºAsuntos!G16)*11)/factor_trimestre," - ")</f>
        <v>4.2849740932642488</v>
      </c>
      <c r="AN16" s="244">
        <f>IF(ISNUMBER('Resol  Asuntos'!D16/NºAsuntos!G16),'Resol  Asuntos'!D16/NºAsuntos!G16," - ")</f>
        <v>0.13644214162348878</v>
      </c>
      <c r="AO16" s="245">
        <f>IF(ISNUMBER((NºAsuntos!C16+NºAsuntos!E16)/NºAsuntos!G16),(NºAsuntos!C16+NºAsuntos!E16)/NºAsuntos!G16," - ")</f>
        <v>2.4283246977547495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2</v>
      </c>
      <c r="Y17" s="334">
        <f t="shared" si="7"/>
        <v>69</v>
      </c>
      <c r="Z17" s="335" t="str">
        <f>IF(ISNUMBER(Datos!CC17),Datos!CC17," - ")</f>
        <v xml:space="preserve"> - </v>
      </c>
      <c r="AA17" s="332">
        <f>IF(ISNUMBER(Datos!L17),Datos!L17,"-")</f>
        <v>73</v>
      </c>
      <c r="AB17" s="334">
        <f>IF(ISNUMBER(Datos!R17),Datos!R17," - ")</f>
        <v>3</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0.9178082191780822</v>
      </c>
      <c r="AM17" s="260">
        <f>IF(ISNUMBER(((NºAsuntos!I17/NºAsuntos!G17)*11)/factor_trimestre),((NºAsuntos!I17/NºAsuntos!G17)*11)/factor_trimestre," - ")</f>
        <v>3.2686567164179103</v>
      </c>
      <c r="AN17" s="244">
        <f>IF(ISNUMBER('Resol  Asuntos'!D17/NºAsuntos!G17),'Resol  Asuntos'!D17/NºAsuntos!G17," - ")</f>
        <v>7.4626865671641784E-2</v>
      </c>
      <c r="AO17" s="245">
        <f>IF(ISNUMBER((NºAsuntos!C17+NºAsuntos!E17)/NºAsuntos!G17),(NºAsuntos!C17+NºAsuntos!E17)/NºAsuntos!G17," - ")</f>
        <v>2.08955223880597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752</v>
      </c>
      <c r="G18" s="866">
        <f>SUBTOTAL(9,G15:G17)</f>
        <v>819</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646</v>
      </c>
      <c r="X18" s="867">
        <f t="shared" si="11"/>
        <v>41</v>
      </c>
      <c r="Y18" s="868">
        <f t="shared" si="11"/>
        <v>687</v>
      </c>
      <c r="Z18" s="868">
        <f t="shared" si="11"/>
        <v>0</v>
      </c>
      <c r="AA18" s="868">
        <f t="shared" si="11"/>
        <v>900</v>
      </c>
      <c r="AB18" s="868">
        <f t="shared" si="11"/>
        <v>139</v>
      </c>
      <c r="AC18" s="868">
        <f t="shared" si="11"/>
        <v>1039</v>
      </c>
      <c r="AD18" s="868">
        <f t="shared" si="11"/>
        <v>0</v>
      </c>
      <c r="AE18" s="872">
        <f t="shared" si="11"/>
        <v>0</v>
      </c>
      <c r="AF18" s="865">
        <f t="shared" si="11"/>
        <v>0</v>
      </c>
      <c r="AG18" s="873">
        <f t="shared" si="11"/>
        <v>0</v>
      </c>
      <c r="AH18" s="870">
        <f t="shared" si="11"/>
        <v>0</v>
      </c>
      <c r="AI18" s="865">
        <f t="shared" si="11"/>
        <v>84</v>
      </c>
      <c r="AJ18" s="867">
        <f t="shared" si="11"/>
        <v>0</v>
      </c>
      <c r="AK18" s="870">
        <f t="shared" si="11"/>
        <v>0</v>
      </c>
      <c r="AL18" s="874">
        <f>IF(ISNUMBER(NºAsuntos!G18/NºAsuntos!E18),NºAsuntos!G18/NºAsuntos!E18," - ")</f>
        <v>0.88858321870701518</v>
      </c>
      <c r="AM18" s="874">
        <f>IF(ISNUMBER(((NºAsuntos!I18/NºAsuntos!G18)*11)/factor_trimestre),((NºAsuntos!I18/NºAsuntos!G18)*11)/factor_trimestre," - ")</f>
        <v>4.1795665634674926</v>
      </c>
      <c r="AN18" s="875">
        <f>IF(ISNUMBER('Resol  Asuntos'!D18/NºAsuntos!G18),'Resol  Asuntos'!D18/NºAsuntos!G18," - ")</f>
        <v>0.13003095975232198</v>
      </c>
      <c r="AO18" s="876">
        <f>IF(ISNUMBER((NºAsuntos!C18+NºAsuntos!E18)/NºAsuntos!G18),(NºAsuntos!C18+NºAsuntos!E18)/NºAsuntos!G18," - ")</f>
        <v>2.3931888544891642</v>
      </c>
      <c r="AP18" s="877" t="str">
        <f t="shared" si="2"/>
        <v xml:space="preserve"> - </v>
      </c>
      <c r="AQ18" s="877">
        <f>IF(ISNUMBER((H18-W18+K18)/(F18)),(H18-W18+K18)/(F18)," - ")</f>
        <v>-0.85904255319148937</v>
      </c>
      <c r="AR18" s="878">
        <f>IF(ISNUMBER((Datos!P18-Datos!Q18)/(Datos!R18-Datos!P18+Datos!Q18)),(Datos!P18-Datos!Q18)/(Datos!R18-Datos!P18+Datos!Q18)," - ")</f>
        <v>-0.11464968152866242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768</v>
      </c>
      <c r="G19" s="821">
        <f t="shared" si="13"/>
        <v>835</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653</v>
      </c>
      <c r="X19" s="821">
        <f t="shared" si="14"/>
        <v>80</v>
      </c>
      <c r="Y19" s="828">
        <f t="shared" si="14"/>
        <v>733</v>
      </c>
      <c r="Z19" s="828">
        <f t="shared" si="14"/>
        <v>0</v>
      </c>
      <c r="AA19" s="828">
        <f t="shared" si="14"/>
        <v>915</v>
      </c>
      <c r="AB19" s="828">
        <f t="shared" si="14"/>
        <v>2567</v>
      </c>
      <c r="AC19" s="828">
        <f t="shared" si="14"/>
        <v>1054</v>
      </c>
      <c r="AD19" s="828">
        <f t="shared" si="14"/>
        <v>0</v>
      </c>
      <c r="AE19" s="830">
        <f t="shared" si="14"/>
        <v>0</v>
      </c>
      <c r="AF19" s="831">
        <f t="shared" si="14"/>
        <v>0</v>
      </c>
      <c r="AG19" s="832">
        <f t="shared" si="14"/>
        <v>0</v>
      </c>
      <c r="AH19" s="830">
        <f t="shared" si="14"/>
        <v>0</v>
      </c>
      <c r="AI19" s="820">
        <f t="shared" si="14"/>
        <v>168</v>
      </c>
      <c r="AJ19" s="820">
        <f t="shared" si="14"/>
        <v>0</v>
      </c>
      <c r="AK19" s="830">
        <f t="shared" si="14"/>
        <v>0</v>
      </c>
      <c r="AL19" s="884">
        <f>IF(ISNUMBER(NºAsuntos!G19/NºAsuntos!E19),NºAsuntos!G19/NºAsuntos!E19," - ")</f>
        <v>0.84603886397608374</v>
      </c>
      <c r="AM19" s="885">
        <f>IF(ISNUMBER(((NºAsuntos!I19/NºAsuntos!G19)*11)/factor_trimestre),((NºAsuntos!I19/NºAsuntos!G19)*11)/factor_trimestre," - ")</f>
        <v>10.107773851590105</v>
      </c>
      <c r="AN19" s="885">
        <f>IF(ISNUMBER('Resol  Asuntos'!D19/NºAsuntos!G19),'Resol  Asuntos'!D19/NºAsuntos!G19," - ")</f>
        <v>0.14840989399293286</v>
      </c>
      <c r="AO19" s="886">
        <f>IF(ISNUMBER((NºAsuntos!C19+NºAsuntos!E19)/NºAsuntos!G19),(NºAsuntos!C19+NºAsuntos!E19)/NºAsuntos!G19," - ")</f>
        <v>4.3692579505300353</v>
      </c>
      <c r="AP19" s="887" t="str">
        <f t="shared" si="2"/>
        <v xml:space="preserve"> - </v>
      </c>
      <c r="AQ19" s="888">
        <f>IF(OR(ISNUMBER(FIND("01",Criterios!A8,1)),ISNUMBER(FIND("02",Criterios!A8,1)),ISNUMBER(FIND("03",Criterios!A8,1)),ISNUMBER(FIND("04",Criterios!A8,1))),(I19-W19+K19)/(F19-K19),(H19-W19+K19)/(F19-K19))</f>
        <v>-0.85026041666666663</v>
      </c>
      <c r="AR19" s="889">
        <f>IF(ISNUMBER((Datos!P19-Datos!Q19)/(Datos!R19-Datos!P19+Datos!Q19)),(Datos!P19-Datos!Q19)/(Datos!R19-Datos!P19+Datos!Q19)," - ")</f>
        <v>2.597921662669864E-2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424.92979812356458</v>
      </c>
      <c r="G21" s="253">
        <f>IF(ISNUMBER(STDEV(G8:G18)),STDEV(G8:G18),"-")</f>
        <v>413.36606053230832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322.49682168976489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39.567663565088097</v>
      </c>
      <c r="AJ21" s="252">
        <f t="shared" si="18"/>
        <v>0</v>
      </c>
      <c r="AK21" s="254">
        <f t="shared" si="18"/>
        <v>0</v>
      </c>
      <c r="AL21" s="249">
        <f t="shared" si="18"/>
        <v>0.13717671309550081</v>
      </c>
      <c r="AM21" s="250">
        <f t="shared" si="18"/>
        <v>7.0644716791294799</v>
      </c>
      <c r="AN21" s="250">
        <f t="shared" si="18"/>
        <v>0.23870204961418784</v>
      </c>
      <c r="AO21" s="251">
        <f t="shared" si="18"/>
        <v>2.3548238930431582</v>
      </c>
      <c r="AP21" s="291" t="str">
        <f t="shared" si="18"/>
        <v>-</v>
      </c>
      <c r="AQ21" s="292">
        <f t="shared" si="18"/>
        <v>0.29807559792039307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w1s53fUTTY07+mmdIjXAW2MblQzlehrgs1otqOYJSDVOnALOnLaKUM20umazGZ/z7JhobNRJ4fK48SMG3lpQA==" saltValue="2uG/tfVA8fSFg4KI2AEe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RONDA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2.5</v>
      </c>
      <c r="G10" s="349">
        <f>IF(ISNUMBER((Datos!L10-Datos!V10)/Datos!V10),(Datos!L10-Datos!V10)/Datos!V10," - ")</f>
        <v>0.5</v>
      </c>
      <c r="H10" s="230">
        <f>IF(ISNUMBER((Datos!M10-Datos!W10)/Datos!W10),(Datos!M10-Datos!W10)/Datos!W10," - ")</f>
        <v>4</v>
      </c>
      <c r="I10" s="350">
        <f>IF(ISNUMBER((Tasas!C10-Datos!BE10)/Datos!BE10),(Tasas!C10-Datos!BE10)/Datos!BE10," - ")</f>
        <v>-0.5714285714285714</v>
      </c>
      <c r="J10" s="349">
        <f>IF(ISNUMBER((Tasas!D10-Datos!BF10)/Datos!BF10),(Tasas!D10-Datos!BF10)/Datos!BF10," - ")</f>
        <v>0.4285714285714286</v>
      </c>
      <c r="K10" s="351">
        <f>IF(ISNUMBER((Tasas!E10-Datos!BG10)/Datos!BG10),(Tasas!E10-Datos!BG10)/Datos!BG10," - ")</f>
        <v>-0.47619047619047622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-0.36799999999999999</v>
      </c>
      <c r="I12" s="350">
        <f>IF(ISNUMBER((Tasas!C12-Datos!BE12)/Datos!BE12),(Tasas!C12-Datos!BE12)/Datos!BE12," - ")</f>
        <v>0.27083450883033344</v>
      </c>
      <c r="J12" s="349">
        <f>IF(ISNUMBER((Tasas!D12-Datos!BF12)/Datos!BF12),(Tasas!D12-Datos!BF12)/Datos!BF12," - ")</f>
        <v>-0.62983066573880775</v>
      </c>
      <c r="K12" s="351">
        <f>IF(ISNUMBER((Tasas!E12-Datos!BG12)/Datos!BG12),(Tasas!E12-Datos!BG12)/Datos!BG12," - ")</f>
        <v>0.22383401846630649</v>
      </c>
      <c r="M12" t="e">
        <f>IF(Monitorios="SI",Datos!CE12,0)</f>
        <v>#REF!</v>
      </c>
      <c r="N12" t="e">
        <f>IF(Monitorios="SI",Datos!CF12,0)</f>
        <v>#REF!</v>
      </c>
      <c r="O12" t="e">
        <f>IF(Monitorios="SI",Datos!CG12,0)</f>
        <v>#REF!</v>
      </c>
      <c r="P12" t="e">
        <f>IF(Monitorios="SI",Datos!CH12,0)</f>
        <v>#REF!</v>
      </c>
      <c r="Q12">
        <f>IF(J_V="SI",0,Datos!AG12)</f>
        <v>117</v>
      </c>
      <c r="R12">
        <f>IF(J_V="SI",0,Datos!AH12)</f>
        <v>52</v>
      </c>
      <c r="S12">
        <f>IF(J_V="SI",0,Datos!AI12)</f>
        <v>49</v>
      </c>
      <c r="T12">
        <f>IF(J_V="SI",0,Datos!AJ12)</f>
        <v>120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-0.33333333333333331</v>
      </c>
      <c r="I13" s="357">
        <f>IF(ISNUMBER((Tasas!C13-Datos!BE13)/Datos!BE13),(Tasas!C13-Datos!BE13)/Datos!BE13," - ")</f>
        <v>0.25876338726580272</v>
      </c>
      <c r="J13" s="355">
        <f>IF(ISNUMBER((Tasas!D13-Datos!BF13)/Datos!BF13),(Tasas!D13-Datos!BF13)/Datos!BF13," - ")</f>
        <v>-0.61225827597509019</v>
      </c>
      <c r="K13" s="358">
        <f>IF(ISNUMBER((Tasas!E13-Datos!BG13)/Datos!BG13),(Tasas!E13-Datos!BG13)/Datos!BG13," - ")</f>
        <v>0.21386501719606901</v>
      </c>
      <c r="M13" t="e">
        <f>IF(Monitorios="SI",Datos!CE13,0)</f>
        <v>#REF!</v>
      </c>
      <c r="N13" t="e">
        <f>IF(Monitorios="SI",Datos!CF13,0)</f>
        <v>#REF!</v>
      </c>
      <c r="O13" t="e">
        <f>IF(Monitorios="SI",Datos!CG13,0)</f>
        <v>#REF!</v>
      </c>
      <c r="P13" t="e">
        <f>IF(Monitorios="SI",Datos!CH13,0)</f>
        <v>#REF!</v>
      </c>
      <c r="Q13">
        <f>IF(J_V="SI",0,Datos!AG13)</f>
        <v>117</v>
      </c>
      <c r="R13">
        <f>IF(J_V="SI",0,Datos!AH13)</f>
        <v>52</v>
      </c>
      <c r="S13">
        <f>IF(J_V="SI",0,Datos!AI13)</f>
        <v>49</v>
      </c>
      <c r="T13">
        <f>IF(J_V="SI",0,Datos!AJ13)</f>
        <v>120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-0.1616499442586399</v>
      </c>
      <c r="E16" s="348">
        <f>IF(ISNUMBER(
   IF(D_I="SI",(Datos!J16-Datos!T16)/Datos!T16,(Datos!J16+Datos!AD16-(Datos!T16+Datos!AL16))/(Datos!T16+Datos!AL16))
     ),IF(D_I="SI",(Datos!J16-Datos!T16)/Datos!T16,(Datos!J16+Datos!AD16-(Datos!T16+Datos!AL16))/(Datos!T16+Datos!AL16))," - ")</f>
        <v>-0.18555417185554171</v>
      </c>
      <c r="F16" s="348">
        <f>IF(ISNUMBER(
   IF(D_I="SI",(Datos!K16-Datos!U16)/Datos!U16,(Datos!K16+Datos!AE16-(Datos!U16+Datos!AM16))/(Datos!U16+Datos!AM16))
     ),IF(D_I="SI",(Datos!K16-Datos!U16)/Datos!U16,(Datos!K16+Datos!AE16-(Datos!U16+Datos!AM16))/(Datos!U16+Datos!AM16))," - ")</f>
        <v>-0.33524684270952926</v>
      </c>
      <c r="G16" s="349">
        <f>IF(ISNUMBER(
   IF(D_I="SI",(Datos!L16-Datos!V16)/Datos!V16,(Datos!L16+Datos!AF16-(Datos!V16+Datos!AN16))/(Datos!V16+Datos!AN16))
     ),IF(D_I="SI",(Datos!L16-Datos!V16)/Datos!V16,(Datos!L16+Datos!AF16-(Datos!V16+Datos!AN16))/(Datos!V16+Datos!AN16))," - ")</f>
        <v>-2.4125452352231603E-3</v>
      </c>
      <c r="H16" s="230">
        <f>IF(ISNUMBER((Datos!M16-Datos!W16)/Datos!W16),(Datos!M16-Datos!W16)/Datos!W16," - ")</f>
        <v>-0.3828125</v>
      </c>
      <c r="I16" s="350">
        <f>IF(ISNUMBER((Tasas!C16-Datos!BE16)/Datos!BE16),(Tasas!C16-Datos!BE16)/Datos!BE16," - ")</f>
        <v>0.50068855457706485</v>
      </c>
      <c r="J16" s="349">
        <f>IF(ISNUMBER((Tasas!D16-Datos!BF16)/Datos!BF16),(Tasas!D16-Datos!BF16)/Datos!BF16," - ")</f>
        <v>-7.155386442141623E-2</v>
      </c>
      <c r="K16" s="351">
        <f>IF(ISNUMBER((Tasas!E16-Datos!BG16)/Datos!BG16),(Tasas!E16-Datos!BG16)/Datos!BG16," - ")</f>
        <v>0.24415930102610983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0.76315789473684215</v>
      </c>
      <c r="E17" s="348">
        <f>IF(ISNUMBER(
   IF(D_I="SI",(Datos!J17-Datos!T17)/Datos!T17,(Datos!J17+Datos!AD17-(Datos!T17+Datos!AL17))/(Datos!T17+Datos!AL17))
     ),IF(D_I="SI",(Datos!J17-Datos!T17)/Datos!T17,(Datos!J17+Datos!AD17-(Datos!T17+Datos!AL17))/(Datos!T17+Datos!AL17))," - ")</f>
        <v>0.73809523809523814</v>
      </c>
      <c r="F17" s="348">
        <f>IF(ISNUMBER(
   IF(D_I="SI",(Datos!K17-Datos!U17)/Datos!U17,(Datos!K17+Datos!AE17-(Datos!U17+Datos!AM17))/(Datos!U17+Datos!AM17))
     ),IF(D_I="SI",(Datos!K17-Datos!U17)/Datos!U17,(Datos!K17+Datos!AE17-(Datos!U17+Datos!AM17))/(Datos!U17+Datos!AM17))," - ")</f>
        <v>0.55813953488372092</v>
      </c>
      <c r="G17" s="349">
        <f>IF(ISNUMBER(
   IF(D_I="SI",(Datos!L17-Datos!V17)/Datos!V17,(Datos!L17+Datos!AF17-(Datos!V17+Datos!AN17))/(Datos!V17+Datos!AN17))
     ),IF(D_I="SI",(Datos!L17-Datos!V17)/Datos!V17,(Datos!L17+Datos!AF17-(Datos!V17+Datos!AN17))/(Datos!V17+Datos!AN17))," - ")</f>
        <v>0.97297297297297303</v>
      </c>
      <c r="H17" s="230">
        <f>IF(ISNUMBER((Datos!M17-Datos!W17)/Datos!W17),(Datos!M17-Datos!W17)/Datos!W17," - ")</f>
        <v>0.25</v>
      </c>
      <c r="I17" s="350">
        <f>IF(ISNUMBER((Tasas!C17-Datos!BE17)/Datos!BE17),(Tasas!C17-Datos!BE17)/Datos!BE17," - ")</f>
        <v>0.2662363856393708</v>
      </c>
      <c r="J17" s="349">
        <f>IF(ISNUMBER((Tasas!D17-Datos!BF17)/Datos!BF17),(Tasas!D17-Datos!BF17)/Datos!BF17," - ")</f>
        <v>-0.19776119402985082</v>
      </c>
      <c r="K17" s="351">
        <f>IF(ISNUMBER((Tasas!E17-Datos!BG17)/Datos!BG17),(Tasas!E17-Datos!BG17)/Datos!BG17," - ")</f>
        <v>0.12313432835820887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-0.12406417112299466</v>
      </c>
      <c r="E18" s="354">
        <f>IF(ISNUMBER(
   IF(D_I="SI",(Datos!J18-Datos!T18)/Datos!T18,(Datos!J18+Datos!AD18-(Datos!T18+Datos!AL18))/(Datos!T18+Datos!AL18))
     ),IF(D_I="SI",(Datos!J18-Datos!T18)/Datos!T18,(Datos!J18+Datos!AD18-(Datos!T18+Datos!AL18))/(Datos!T18+Datos!AL18))," - ")</f>
        <v>-0.13964497041420118</v>
      </c>
      <c r="F18" s="354">
        <f>IF(ISNUMBER(
   IF(D_I="SI",(Datos!K18-Datos!U18)/Datos!U18,(Datos!K18+Datos!AE18-(Datos!U18+Datos!AM18))/(Datos!U18+Datos!AM18))
     ),IF(D_I="SI",(Datos!K18-Datos!U18)/Datos!U18,(Datos!K18+Datos!AE18-(Datos!U18+Datos!AM18))/(Datos!U18+Datos!AM18))," - ")</f>
        <v>-0.29321663019693656</v>
      </c>
      <c r="G18" s="355">
        <f>IF(ISNUMBER(
   IF(D_I="SI",(Datos!L18-Datos!V18)/Datos!V18,(Datos!L18+Datos!AF18-(Datos!V18+Datos!AN18))/(Datos!V18+Datos!AN18))
     ),IF(D_I="SI",(Datos!L18-Datos!V18)/Datos!V18,(Datos!L18+Datos!AF18-(Datos!V18+Datos!AN18))/(Datos!V18+Datos!AN18))," - ")</f>
        <v>3.9260969976905313E-2</v>
      </c>
      <c r="H18" s="356">
        <f>IF(ISNUMBER((Datos!M18-Datos!W18)/Datos!W18),(Datos!M18-Datos!W18)/Datos!W18," - ")</f>
        <v>-0.36363636363636365</v>
      </c>
      <c r="I18" s="357">
        <f>IF(ISNUMBER((Tasas!C18-Datos!BE18)/Datos!BE18),(Tasas!C18-Datos!BE18)/Datos!BE18," - ")</f>
        <v>0.47040948383729336</v>
      </c>
      <c r="J18" s="355">
        <f>IF(ISNUMBER((Tasas!D18-Datos!BF18)/Datos!BF18),(Tasas!D18-Datos!BF18)/Datos!BF18," - ")</f>
        <v>-9.9634112018013005E-2</v>
      </c>
      <c r="K18" s="358">
        <f>IF(ISNUMBER((Tasas!E18-Datos!BG18)/Datos!BG18),(Tasas!E18-Datos!BG18)/Datos!BG18," - ")</f>
        <v>0.22886214213657088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0.10201588271227856</v>
      </c>
      <c r="E19" s="363">
        <f>IF(ISNUMBER(
   IF(J_V="SI",(Datos!J19-Datos!T19)/Datos!T19,(Datos!J19+Datos!Z19-(Datos!T19+Datos!AH19))/(Datos!T19+Datos!AH19))
     ),IF(J_V="SI",(Datos!J19-Datos!T19)/Datos!T19,(Datos!J19+Datos!Z19-(Datos!T19+Datos!AH19))/(Datos!T19+Datos!AH19))," - ")</f>
        <v>-6.3025210084033612E-2</v>
      </c>
      <c r="F19" s="363">
        <f>IF(ISNUMBER(
   IF(J_V="SI",(Datos!K19-Datos!U19)/Datos!U19,(Datos!K19+Datos!AA19-(Datos!U19+Datos!AI19))/(Datos!U19+Datos!AI19))
     ),IF(J_V="SI",(Datos!K19-Datos!U19)/Datos!U19,(Datos!K19+Datos!AA19-(Datos!U19+Datos!AI19))/(Datos!U19+Datos!AI19))," - ")</f>
        <v>-0.20337790288529206</v>
      </c>
      <c r="G19" s="364">
        <f>IF(ISNUMBER(
   IF(J_V="SI",(Datos!L19-Datos!V19)/Datos!V19,(Datos!L19+Datos!AB19-(Datos!V19+Datos!AJ19))/(Datos!V19+Datos!AJ19))
     ),IF(J_V="SI",(Datos!L19-Datos!V19)/Datos!V19,(Datos!L19+Datos!AB19-(Datos!V19+Datos!AJ19))/(Datos!V19+Datos!AJ19))," - ")</f>
        <v>0.16245047241694605</v>
      </c>
      <c r="H19" s="365">
        <f>IF(ISNUMBER((Datos!M19-Datos!W19)/Datos!W19),(Datos!M19-Datos!W19)/Datos!W19," - ")</f>
        <v>-0.34883720930232559</v>
      </c>
      <c r="I19" s="362">
        <f>IF(ISNUMBER((Tasas!C19-Datos!BE19)/Datos!BE19),(Tasas!C19-Datos!BE19)/Datos!BE19," - ")</f>
        <v>0.45922448878487671</v>
      </c>
      <c r="J19" s="363">
        <f>IF(ISNUMBER((Tasas!D19-Datos!BF19)/Datos!BF19),(Tasas!D19-Datos!BF19)/Datos!BF19," - ")</f>
        <v>-0.41092050456995088</v>
      </c>
      <c r="K19" s="364">
        <f>IF(ISNUMBER((Tasas!E19-Datos!BG19)/Datos!BG19),(Tasas!E19-Datos!BG19)/Datos!BG19," - ")</f>
        <v>0.32044141805682269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0.59950606475819646</v>
      </c>
      <c r="E21" s="278">
        <f t="shared" si="1"/>
        <v>0.46201400718682667</v>
      </c>
      <c r="F21" s="278">
        <f t="shared" si="1"/>
        <v>1.3271592138391743</v>
      </c>
      <c r="G21" s="279">
        <f t="shared" si="1"/>
        <v>0.45765106322927085</v>
      </c>
      <c r="H21" s="285">
        <f t="shared" si="1"/>
        <v>1.7480889273883853</v>
      </c>
      <c r="I21" s="277">
        <f t="shared" si="1"/>
        <v>0.3928082202160782</v>
      </c>
      <c r="J21" s="278">
        <f t="shared" si="1"/>
        <v>0.39404030895484332</v>
      </c>
      <c r="K21" s="279">
        <f t="shared" si="1"/>
        <v>0.28210615231684766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7KjnegzIGdyIp6maP3IHYCDtbrh7nOESQvwrDwVdixUye+Ukd44orz21lWTp/t3ZYhGlpcR64AT7C1KkpW6CA==" saltValue="ebDoxpy/dFQagdGJYatu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